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e\Finance\2024\3Q\"/>
    </mc:Choice>
  </mc:AlternateContent>
  <bookViews>
    <workbookView xWindow="0" yWindow="0" windowWidth="19200" windowHeight="6765"/>
  </bookViews>
  <sheets>
    <sheet name="Snapshot" sheetId="10" r:id="rId1"/>
    <sheet name="Object Code Definitions" sheetId="12" r:id="rId2"/>
    <sheet name="Appropriated" sheetId="1" r:id="rId3"/>
    <sheet name="Departments" sheetId="5" state="hidden" r:id="rId4"/>
    <sheet name="Town $ Summary" sheetId="4" r:id="rId5"/>
    <sheet name="Grants" sheetId="2" r:id="rId6"/>
    <sheet name="Food  Svce" sheetId="11" r:id="rId7"/>
    <sheet name="Sheet1" sheetId="13" r:id="rId8"/>
    <sheet name="Ttl Resources" sheetId="6" state="hidden" r:id="rId9"/>
    <sheet name="grnt resource bu" sheetId="7" state="hidden" r:id="rId10"/>
  </sheets>
  <externalReferences>
    <externalReference r:id="rId11"/>
  </externalReferences>
  <definedNames>
    <definedName name="_xlnm.Print_Titles" localSheetId="2">Appropriated!$3:$6</definedName>
  </definedNames>
  <calcPr calcId="162913"/>
</workbook>
</file>

<file path=xl/calcChain.xml><?xml version="1.0" encoding="utf-8"?>
<calcChain xmlns="http://schemas.openxmlformats.org/spreadsheetml/2006/main">
  <c r="W16" i="2" l="1"/>
  <c r="D28" i="11"/>
  <c r="C10" i="11"/>
  <c r="H20" i="1" l="1"/>
  <c r="H8" i="1"/>
  <c r="H26" i="1"/>
  <c r="H16" i="1"/>
  <c r="H24" i="1" l="1"/>
  <c r="H14" i="1"/>
  <c r="H10" i="1"/>
  <c r="E16" i="4" l="1"/>
  <c r="D12" i="11" l="1"/>
  <c r="I34" i="2" l="1"/>
  <c r="B28" i="11" l="1"/>
  <c r="E13" i="11" l="1"/>
  <c r="E16" i="11"/>
  <c r="F16" i="4" l="1"/>
  <c r="D24" i="11" l="1"/>
  <c r="D23" i="11" l="1"/>
  <c r="E15" i="11"/>
  <c r="I42" i="2" l="1"/>
  <c r="K42" i="2" s="1"/>
  <c r="D25" i="11" l="1"/>
  <c r="I27" i="2" l="1"/>
  <c r="K27" i="2" s="1"/>
  <c r="I26" i="2"/>
  <c r="K26" i="2" s="1"/>
  <c r="I25" i="2"/>
  <c r="K25" i="2" s="1"/>
  <c r="E17" i="11" l="1"/>
  <c r="I41" i="1" l="1"/>
  <c r="E34" i="11" l="1"/>
  <c r="E14" i="11"/>
  <c r="D11" i="11"/>
  <c r="D10" i="11"/>
  <c r="E26" i="11" l="1"/>
  <c r="K45" i="2" l="1"/>
  <c r="I44" i="2"/>
  <c r="K44" i="2" s="1"/>
  <c r="I24" i="2"/>
  <c r="K24" i="2" s="1"/>
  <c r="I43" i="2"/>
  <c r="K43" i="2" s="1"/>
  <c r="I23" i="2"/>
  <c r="K23" i="2" s="1"/>
  <c r="K40" i="2"/>
  <c r="C30" i="11" l="1"/>
  <c r="B30" i="11"/>
  <c r="E29" i="11"/>
  <c r="E28" i="11"/>
  <c r="E25" i="11"/>
  <c r="D30" i="11"/>
  <c r="E23" i="11"/>
  <c r="D19" i="11"/>
  <c r="C19" i="11"/>
  <c r="E18" i="11"/>
  <c r="E12" i="11"/>
  <c r="E11" i="11"/>
  <c r="E10" i="11"/>
  <c r="E9" i="11"/>
  <c r="B19" i="11" l="1"/>
  <c r="B36" i="11" s="1"/>
  <c r="C36" i="11"/>
  <c r="E19" i="11"/>
  <c r="D36" i="11"/>
  <c r="E24" i="11"/>
  <c r="E30" i="11" s="1"/>
  <c r="E36" i="11" l="1"/>
  <c r="G43" i="1"/>
  <c r="I43" i="1" s="1"/>
  <c r="O40" i="4" l="1"/>
  <c r="G9" i="10" s="1"/>
  <c r="F10" i="2" l="1"/>
  <c r="F9" i="2"/>
  <c r="F7" i="2"/>
  <c r="D39" i="1" l="1"/>
  <c r="G39" i="1" s="1"/>
  <c r="I39" i="1" s="1"/>
  <c r="F9" i="10" l="1"/>
  <c r="D9" i="10"/>
  <c r="C9" i="10"/>
  <c r="B9" i="10"/>
  <c r="E9" i="10" l="1"/>
  <c r="F12" i="2" l="1"/>
  <c r="E14" i="2"/>
  <c r="E11" i="2"/>
  <c r="I14" i="2" l="1"/>
  <c r="F12" i="10" l="1"/>
  <c r="D12" i="10"/>
  <c r="C12" i="10"/>
  <c r="B12" i="10"/>
  <c r="I41" i="2" l="1"/>
  <c r="K41" i="2" s="1"/>
  <c r="E22" i="2" l="1"/>
  <c r="E13" i="2"/>
  <c r="E15" i="2"/>
  <c r="H45" i="1" l="1"/>
  <c r="F10" i="10" s="1"/>
  <c r="F45" i="1"/>
  <c r="D10" i="10" s="1"/>
  <c r="E45" i="1"/>
  <c r="C10" i="10" s="1"/>
  <c r="D45" i="1"/>
  <c r="B10" i="10" s="1"/>
  <c r="I45" i="1" l="1"/>
  <c r="G10" i="10" s="1"/>
  <c r="G45" i="1"/>
  <c r="E10" i="10" s="1"/>
  <c r="G20" i="1" l="1"/>
  <c r="G14" i="1"/>
  <c r="I38" i="2" l="1"/>
  <c r="K38" i="2" s="1"/>
  <c r="G8" i="1" l="1"/>
  <c r="I8" i="1" s="1"/>
  <c r="G10" i="1"/>
  <c r="I10" i="1" s="1"/>
  <c r="D12" i="1"/>
  <c r="E12" i="1"/>
  <c r="F12" i="1"/>
  <c r="H12" i="1"/>
  <c r="I14" i="1"/>
  <c r="G16" i="1"/>
  <c r="I16" i="1" s="1"/>
  <c r="G18" i="1"/>
  <c r="I18" i="1" s="1"/>
  <c r="I20" i="1"/>
  <c r="G22" i="1"/>
  <c r="I22" i="1" s="1"/>
  <c r="G24" i="1"/>
  <c r="I24" i="1" s="1"/>
  <c r="G26" i="1"/>
  <c r="I26" i="1" s="1"/>
  <c r="H31" i="1"/>
  <c r="G28" i="1"/>
  <c r="I28" i="1" s="1"/>
  <c r="G30" i="1"/>
  <c r="I30" i="1" s="1"/>
  <c r="D31" i="1"/>
  <c r="E31" i="1"/>
  <c r="F31" i="1"/>
  <c r="G49" i="1"/>
  <c r="I49" i="1" l="1"/>
  <c r="G12" i="10" s="1"/>
  <c r="E12" i="10"/>
  <c r="D33" i="1"/>
  <c r="B7" i="10" s="1"/>
  <c r="E33" i="1"/>
  <c r="C7" i="10" s="1"/>
  <c r="F33" i="1"/>
  <c r="D7" i="10" s="1"/>
  <c r="G12" i="1"/>
  <c r="G31" i="1"/>
  <c r="H33" i="1"/>
  <c r="F7" i="10" s="1"/>
  <c r="I12" i="1"/>
  <c r="I31" i="1"/>
  <c r="G33" i="1" l="1"/>
  <c r="E7" i="10" s="1"/>
  <c r="I33" i="1"/>
  <c r="G7" i="10" s="1"/>
  <c r="I13" i="2" l="1"/>
  <c r="K13" i="2" s="1"/>
  <c r="I15" i="2"/>
  <c r="K15" i="2" s="1"/>
  <c r="I12" i="2" l="1"/>
  <c r="K12" i="2" s="1"/>
  <c r="K14" i="2" l="1"/>
  <c r="I11" i="2"/>
  <c r="K11" i="2" s="1"/>
  <c r="K34" i="2" l="1"/>
  <c r="O16" i="4" l="1"/>
  <c r="G19" i="4" l="1"/>
  <c r="G18" i="4"/>
  <c r="G17" i="4"/>
  <c r="G16" i="4"/>
  <c r="G15" i="4"/>
  <c r="G14" i="4"/>
  <c r="G11" i="4"/>
  <c r="G10" i="4"/>
  <c r="F19" i="4" l="1"/>
  <c r="E19" i="4"/>
  <c r="F18" i="4"/>
  <c r="E18" i="4"/>
  <c r="F17" i="4"/>
  <c r="E17" i="4"/>
  <c r="F15" i="4"/>
  <c r="E15" i="4"/>
  <c r="F14" i="4"/>
  <c r="E14" i="4"/>
  <c r="F11" i="4"/>
  <c r="E11" i="4"/>
  <c r="F10" i="4"/>
  <c r="E10" i="4"/>
  <c r="I28" i="2" l="1"/>
  <c r="K28" i="2" s="1"/>
  <c r="I39" i="2"/>
  <c r="K39" i="2" s="1"/>
  <c r="I37" i="2"/>
  <c r="K37" i="2" s="1"/>
  <c r="I35" i="2"/>
  <c r="K35" i="2" s="1"/>
  <c r="I36" i="2"/>
  <c r="K36" i="2" s="1"/>
  <c r="I20" i="2"/>
  <c r="K20" i="2" s="1"/>
  <c r="I31" i="2"/>
  <c r="K31" i="2" s="1"/>
  <c r="I30" i="2"/>
  <c r="K30" i="2" s="1"/>
  <c r="I21" i="2"/>
  <c r="I18" i="2"/>
  <c r="K18" i="2" s="1"/>
  <c r="I16" i="2"/>
  <c r="K16" i="2" s="1"/>
  <c r="I8" i="2"/>
  <c r="I22" i="2"/>
  <c r="K22" i="2" s="1"/>
  <c r="I6" i="2"/>
  <c r="K6" i="2" s="1"/>
  <c r="I19" i="2"/>
  <c r="K19" i="2" s="1"/>
  <c r="D19" i="4"/>
  <c r="D18" i="4"/>
  <c r="D17" i="4"/>
  <c r="D16" i="4"/>
  <c r="H16" i="4" s="1"/>
  <c r="D15" i="4"/>
  <c r="D14" i="4"/>
  <c r="D11" i="4"/>
  <c r="D10" i="4"/>
  <c r="E12" i="4"/>
  <c r="F6" i="7"/>
  <c r="G6" i="7"/>
  <c r="Q6" i="7"/>
  <c r="W6" i="7"/>
  <c r="AF6" i="7"/>
  <c r="AG6" i="7" s="1"/>
  <c r="F7" i="7"/>
  <c r="G7" i="7" s="1"/>
  <c r="Q7" i="7"/>
  <c r="W7" i="7"/>
  <c r="AC7" i="7"/>
  <c r="AF7" i="7" s="1"/>
  <c r="F8" i="7"/>
  <c r="G8" i="7" s="1"/>
  <c r="Q8" i="7"/>
  <c r="AF8" i="7"/>
  <c r="AG8" i="7" s="1"/>
  <c r="F9" i="7"/>
  <c r="F10" i="7"/>
  <c r="G10" i="7" s="1"/>
  <c r="T10" i="7"/>
  <c r="AF10" i="7" s="1"/>
  <c r="AG10" i="7" s="1"/>
  <c r="F11" i="7"/>
  <c r="G11" i="7"/>
  <c r="AC11" i="7"/>
  <c r="AF11" i="7"/>
  <c r="AG11" i="7" s="1"/>
  <c r="F12" i="7"/>
  <c r="G12" i="7"/>
  <c r="AF12" i="7"/>
  <c r="AG12" i="7" s="1"/>
  <c r="F13" i="7"/>
  <c r="G13" i="7" s="1"/>
  <c r="H13" i="7"/>
  <c r="AD13" i="7"/>
  <c r="AF13" i="7"/>
  <c r="AG13" i="7" s="1"/>
  <c r="F14" i="7"/>
  <c r="G14" i="7" s="1"/>
  <c r="Q14" i="7"/>
  <c r="T14" i="7"/>
  <c r="U14" i="7"/>
  <c r="F15" i="7"/>
  <c r="G15" i="7" s="1"/>
  <c r="Q15" i="7"/>
  <c r="U15" i="7"/>
  <c r="AC15" i="7"/>
  <c r="AF15" i="7"/>
  <c r="AG15" i="7" s="1"/>
  <c r="F16" i="7"/>
  <c r="G16" i="7"/>
  <c r="Q16" i="7"/>
  <c r="AB16" i="7"/>
  <c r="AF16" i="7" s="1"/>
  <c r="AG16" i="7" s="1"/>
  <c r="F17" i="7"/>
  <c r="G17" i="7" s="1"/>
  <c r="Q17" i="7"/>
  <c r="U17" i="7"/>
  <c r="AB17" i="7"/>
  <c r="AC17" i="7"/>
  <c r="F18" i="7"/>
  <c r="G18" i="7" s="1"/>
  <c r="Q18" i="7"/>
  <c r="AF18" i="7"/>
  <c r="AG18" i="7" s="1"/>
  <c r="F19" i="7"/>
  <c r="G19" i="7" s="1"/>
  <c r="Q19" i="7"/>
  <c r="AF19" i="7"/>
  <c r="AG19" i="7" s="1"/>
  <c r="F20" i="7"/>
  <c r="G20" i="7"/>
  <c r="Q20" i="7"/>
  <c r="AF20" i="7"/>
  <c r="AG20" i="7" s="1"/>
  <c r="F21" i="7"/>
  <c r="G21" i="7" s="1"/>
  <c r="Q21" i="7"/>
  <c r="AF21" i="7"/>
  <c r="AG21" i="7" s="1"/>
  <c r="F22" i="7"/>
  <c r="G22" i="7" s="1"/>
  <c r="AF22" i="7"/>
  <c r="AG22" i="7" s="1"/>
  <c r="AM22" i="7"/>
  <c r="F23" i="7"/>
  <c r="G23" i="7" s="1"/>
  <c r="Q23" i="7"/>
  <c r="T23" i="7"/>
  <c r="U23" i="7"/>
  <c r="V23" i="7"/>
  <c r="W23" i="7"/>
  <c r="W28" i="7" s="1"/>
  <c r="Y23" i="7"/>
  <c r="AB23" i="7"/>
  <c r="AC23" i="7"/>
  <c r="AD23" i="7"/>
  <c r="F24" i="7"/>
  <c r="G24" i="7" s="1"/>
  <c r="F26" i="7"/>
  <c r="G26" i="7" s="1"/>
  <c r="H26" i="7"/>
  <c r="Q27" i="7"/>
  <c r="I28" i="7"/>
  <c r="J28" i="7"/>
  <c r="K28" i="7"/>
  <c r="L28" i="7"/>
  <c r="M28" i="7"/>
  <c r="N28" i="7"/>
  <c r="O28" i="7"/>
  <c r="P28" i="7"/>
  <c r="V28" i="7"/>
  <c r="X28" i="7"/>
  <c r="Z28" i="7"/>
  <c r="AA28" i="7"/>
  <c r="AC28" i="7"/>
  <c r="AE28" i="7"/>
  <c r="D29" i="7"/>
  <c r="E29" i="7"/>
  <c r="E8" i="6"/>
  <c r="F8" i="6" s="1"/>
  <c r="C9" i="6"/>
  <c r="C14" i="6" s="1"/>
  <c r="D9" i="6"/>
  <c r="C10" i="6"/>
  <c r="D10" i="6"/>
  <c r="D14" i="6" s="1"/>
  <c r="E11" i="6"/>
  <c r="T6" i="2"/>
  <c r="I7" i="2"/>
  <c r="K7" i="2" s="1"/>
  <c r="T7" i="2"/>
  <c r="T8" i="2"/>
  <c r="T9" i="2"/>
  <c r="T28" i="2"/>
  <c r="I29" i="2"/>
  <c r="K29" i="2" s="1"/>
  <c r="T29" i="2"/>
  <c r="T30" i="2"/>
  <c r="T31" i="2"/>
  <c r="T20" i="2"/>
  <c r="T32" i="2"/>
  <c r="T36" i="2"/>
  <c r="L39" i="2"/>
  <c r="M39" i="2"/>
  <c r="N39" i="2"/>
  <c r="O39" i="2"/>
  <c r="P39" i="2"/>
  <c r="Q39" i="2"/>
  <c r="R39" i="2"/>
  <c r="S39" i="2"/>
  <c r="C47" i="2"/>
  <c r="D47" i="2"/>
  <c r="G7" i="5"/>
  <c r="I7" i="5" s="1"/>
  <c r="J7" i="5"/>
  <c r="K7" i="5"/>
  <c r="L7" i="5"/>
  <c r="N7" i="5"/>
  <c r="N18" i="5" s="1"/>
  <c r="G8" i="5"/>
  <c r="I8" i="5" s="1"/>
  <c r="S8" i="5"/>
  <c r="G9" i="5"/>
  <c r="I9" i="5" s="1"/>
  <c r="J9" i="5"/>
  <c r="K9" i="5"/>
  <c r="M9" i="5"/>
  <c r="M18" i="5" s="1"/>
  <c r="G10" i="5"/>
  <c r="I10" i="5" s="1"/>
  <c r="K10" i="5"/>
  <c r="S10" i="5" s="1"/>
  <c r="G11" i="5"/>
  <c r="I11" i="5" s="1"/>
  <c r="S11" i="5"/>
  <c r="G12" i="5"/>
  <c r="I12" i="5" s="1"/>
  <c r="S12" i="5"/>
  <c r="G13" i="5"/>
  <c r="I13" i="5" s="1"/>
  <c r="J13" i="5"/>
  <c r="K13" i="5"/>
  <c r="L13" i="5"/>
  <c r="M13" i="5"/>
  <c r="E14" i="5"/>
  <c r="F14" i="5"/>
  <c r="S14" i="5"/>
  <c r="G15" i="5"/>
  <c r="I15" i="5" s="1"/>
  <c r="S15" i="5"/>
  <c r="G16" i="5"/>
  <c r="I16" i="5" s="1"/>
  <c r="S16" i="5"/>
  <c r="O18" i="5"/>
  <c r="P18" i="5"/>
  <c r="Q18" i="5"/>
  <c r="R18" i="5"/>
  <c r="C19" i="5"/>
  <c r="D19" i="5"/>
  <c r="F19" i="5"/>
  <c r="H19" i="5"/>
  <c r="U20" i="5"/>
  <c r="O10" i="4"/>
  <c r="O11" i="4"/>
  <c r="J12" i="4"/>
  <c r="K12" i="4"/>
  <c r="L12" i="4"/>
  <c r="M12" i="4"/>
  <c r="O14" i="4"/>
  <c r="O15" i="4"/>
  <c r="O17" i="4"/>
  <c r="O18" i="4"/>
  <c r="O19" i="4"/>
  <c r="H20" i="4"/>
  <c r="O20" i="4"/>
  <c r="J21" i="4"/>
  <c r="K21" i="4"/>
  <c r="L21" i="4"/>
  <c r="M21" i="4"/>
  <c r="S13" i="5" l="1"/>
  <c r="AF23" i="7"/>
  <c r="AG23" i="7" s="1"/>
  <c r="J18" i="5"/>
  <c r="K18" i="5"/>
  <c r="T28" i="7"/>
  <c r="G14" i="5"/>
  <c r="S7" i="5"/>
  <c r="L18" i="5"/>
  <c r="R19" i="5" s="1"/>
  <c r="E9" i="6"/>
  <c r="F9" i="6" s="1"/>
  <c r="AF14" i="7"/>
  <c r="AG14" i="7" s="1"/>
  <c r="Y28" i="7"/>
  <c r="E10" i="6"/>
  <c r="F10" i="6" s="1"/>
  <c r="S29" i="7"/>
  <c r="F29" i="7"/>
  <c r="G29" i="7" s="1"/>
  <c r="Q28" i="7"/>
  <c r="S9" i="5"/>
  <c r="AB28" i="7"/>
  <c r="AF17" i="7"/>
  <c r="AG17" i="7" s="1"/>
  <c r="E19" i="5"/>
  <c r="AD28" i="7"/>
  <c r="G19" i="5"/>
  <c r="I14" i="5"/>
  <c r="I19" i="5" s="1"/>
  <c r="AF24" i="7"/>
  <c r="AG7" i="7"/>
  <c r="U28" i="7"/>
  <c r="O21" i="4"/>
  <c r="J23" i="4"/>
  <c r="B8" i="10" s="1"/>
  <c r="U46" i="2"/>
  <c r="I9" i="2"/>
  <c r="K9" i="2" s="1"/>
  <c r="T39" i="2"/>
  <c r="L23" i="4"/>
  <c r="D8" i="10" s="1"/>
  <c r="Q20" i="4"/>
  <c r="M23" i="4"/>
  <c r="F8" i="10" s="1"/>
  <c r="O12" i="4"/>
  <c r="K23" i="4"/>
  <c r="C8" i="10" s="1"/>
  <c r="D21" i="4"/>
  <c r="D12" i="4"/>
  <c r="H18" i="4"/>
  <c r="Q18" i="4" s="1"/>
  <c r="H17" i="4"/>
  <c r="Q17" i="4" s="1"/>
  <c r="F12" i="4"/>
  <c r="H19" i="4"/>
  <c r="Q19" i="4" s="1"/>
  <c r="H10" i="4"/>
  <c r="Q10" i="4" s="1"/>
  <c r="H15" i="4"/>
  <c r="Q15" i="4" s="1"/>
  <c r="F21" i="4"/>
  <c r="E21" i="4"/>
  <c r="E23" i="4" s="1"/>
  <c r="H11" i="4"/>
  <c r="Q11" i="4" s="1"/>
  <c r="K21" i="2"/>
  <c r="K8" i="2"/>
  <c r="Q16" i="4"/>
  <c r="G21" i="4"/>
  <c r="H14" i="4"/>
  <c r="G12" i="4"/>
  <c r="E14" i="6" l="1"/>
  <c r="F14" i="6" s="1"/>
  <c r="S18" i="5"/>
  <c r="AF28" i="7"/>
  <c r="E8" i="10"/>
  <c r="G8" i="10" s="1"/>
  <c r="O23" i="4"/>
  <c r="F23" i="4"/>
  <c r="D23" i="4"/>
  <c r="H12" i="4"/>
  <c r="Q12" i="4" s="1"/>
  <c r="G23" i="4"/>
  <c r="Q14" i="4"/>
  <c r="H21" i="4"/>
  <c r="Q21" i="4" s="1"/>
  <c r="H23" i="4" l="1"/>
  <c r="Q23" i="4" s="1"/>
  <c r="H47" i="2" l="1"/>
  <c r="D11" i="10" s="1"/>
  <c r="D14" i="10" s="1"/>
  <c r="I32" i="2"/>
  <c r="K32" i="2" s="1"/>
  <c r="G47" i="2"/>
  <c r="C11" i="10" s="1"/>
  <c r="C14" i="10" s="1"/>
  <c r="E33" i="2"/>
  <c r="I33" i="2"/>
  <c r="K33" i="2" s="1"/>
  <c r="I17" i="2" l="1"/>
  <c r="K17" i="2" s="1"/>
  <c r="E17" i="2"/>
  <c r="F47" i="2" l="1"/>
  <c r="E47" i="2"/>
  <c r="B11" i="10" l="1"/>
  <c r="B14" i="10" s="1"/>
  <c r="I10" i="2"/>
  <c r="I47" i="2" l="1"/>
  <c r="E11" i="10" s="1"/>
  <c r="E14" i="10" s="1"/>
  <c r="K10" i="2"/>
  <c r="J47" i="2"/>
  <c r="F11" i="10" s="1"/>
  <c r="F14" i="10" s="1"/>
  <c r="K47" i="2" l="1"/>
  <c r="G11" i="10" s="1"/>
  <c r="G14" i="10" s="1"/>
</calcChain>
</file>

<file path=xl/comments1.xml><?xml version="1.0" encoding="utf-8"?>
<comments xmlns="http://schemas.openxmlformats.org/spreadsheetml/2006/main">
  <authors>
    <author>Nancy O'Dea Wyrick</author>
  </authors>
  <commentList>
    <comment ref="C8" authorId="0" shapeId="0">
      <text>
        <r>
          <rPr>
            <b/>
            <sz val="9"/>
            <color indexed="81"/>
            <rFont val="Tahoma"/>
            <family val="2"/>
          </rPr>
          <t>Nancy O'Dea Wyrick:</t>
        </r>
        <r>
          <rPr>
            <sz val="9"/>
            <color indexed="81"/>
            <rFont val="Tahoma"/>
            <family val="2"/>
          </rPr>
          <t xml:space="preserve">
000+100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Nancy O'Dea Wyrick:</t>
        </r>
        <r>
          <rPr>
            <sz val="9"/>
            <color indexed="81"/>
            <rFont val="Tahoma"/>
            <family val="2"/>
          </rPr>
          <t xml:space="preserve">
510+511+512
</t>
        </r>
      </text>
    </comment>
  </commentList>
</comments>
</file>

<file path=xl/comments2.xml><?xml version="1.0" encoding="utf-8"?>
<comments xmlns="http://schemas.openxmlformats.org/spreadsheetml/2006/main">
  <authors>
    <author>nodeawyrick</author>
  </authors>
  <commentList>
    <comment ref="C16" authorId="0" shapeId="0">
      <text>
        <r>
          <rPr>
            <b/>
            <sz val="9"/>
            <color indexed="81"/>
            <rFont val="Tahoma"/>
            <family val="2"/>
          </rPr>
          <t>nodeawyrick:</t>
        </r>
        <r>
          <rPr>
            <sz val="9"/>
            <color indexed="81"/>
            <rFont val="Tahoma"/>
            <family val="2"/>
          </rPr>
          <t xml:space="preserve">
521+590
</t>
        </r>
      </text>
    </comment>
  </commentList>
</comments>
</file>

<file path=xl/sharedStrings.xml><?xml version="1.0" encoding="utf-8"?>
<sst xmlns="http://schemas.openxmlformats.org/spreadsheetml/2006/main" count="295" uniqueCount="221">
  <si>
    <t>Object</t>
  </si>
  <si>
    <t>Description</t>
  </si>
  <si>
    <t>Adopted Budget</t>
  </si>
  <si>
    <t>Expended to Date</t>
  </si>
  <si>
    <t>Encumbered</t>
  </si>
  <si>
    <t>Balance</t>
  </si>
  <si>
    <r>
      <t>Estimated</t>
    </r>
    <r>
      <rPr>
        <b/>
        <sz val="9"/>
        <color indexed="8"/>
        <rFont val="Arial"/>
        <family val="2"/>
      </rPr>
      <t xml:space="preserve"> Adjustments</t>
    </r>
  </si>
  <si>
    <t>Projected Year-End</t>
  </si>
  <si>
    <t>Employee Benefits</t>
  </si>
  <si>
    <t>Subtotal Personnel Expense</t>
  </si>
  <si>
    <t>Property Services</t>
  </si>
  <si>
    <t>Pupil Transportation</t>
  </si>
  <si>
    <t>5XX</t>
  </si>
  <si>
    <t>Supplies</t>
  </si>
  <si>
    <t>Equipment &amp; Capital</t>
  </si>
  <si>
    <t>Subtotal Non-Personnel Expense</t>
  </si>
  <si>
    <t>School Readiness</t>
  </si>
  <si>
    <t>Funds Received</t>
  </si>
  <si>
    <t>Adult Education</t>
  </si>
  <si>
    <t>Wages</t>
  </si>
  <si>
    <t>Professional Technical Services</t>
  </si>
  <si>
    <t>Dues, Fees &amp; Other Objects</t>
  </si>
  <si>
    <t xml:space="preserve">Purchased Services </t>
  </si>
  <si>
    <t>TOWN APPROPRIATION</t>
  </si>
  <si>
    <t>TOTAL</t>
  </si>
  <si>
    <t xml:space="preserve">Winchester Public Schools </t>
  </si>
  <si>
    <t>Special Ed Out of District Tuition</t>
  </si>
  <si>
    <t>Gilbert School Tuition</t>
  </si>
  <si>
    <t>51X</t>
  </si>
  <si>
    <t xml:space="preserve">All Other Purchased Services </t>
  </si>
  <si>
    <t>Special Items</t>
  </si>
  <si>
    <t>0-100</t>
  </si>
  <si>
    <t>Family Resource Center</t>
  </si>
  <si>
    <t>Champs</t>
  </si>
  <si>
    <t>Title III</t>
  </si>
  <si>
    <t>Ob-ject</t>
  </si>
  <si>
    <t>Loca-tion</t>
  </si>
  <si>
    <t>Quality Enhancement School Readiness</t>
  </si>
  <si>
    <t>Excess Cost Grant</t>
  </si>
  <si>
    <t>Revised Budget</t>
  </si>
  <si>
    <t>Equipment &amp; S/W</t>
  </si>
  <si>
    <t>IDEA 611</t>
  </si>
  <si>
    <t>IDEA 619 Preschool</t>
  </si>
  <si>
    <t>ECS Alliance</t>
  </si>
  <si>
    <t>cannibalize all</t>
  </si>
  <si>
    <t>ADJUSTMENTS FOR LOCATION SHEET</t>
  </si>
  <si>
    <t>batch</t>
  </si>
  <si>
    <t>hinsd</t>
  </si>
  <si>
    <t>pear</t>
  </si>
  <si>
    <t>PPS</t>
  </si>
  <si>
    <t>co</t>
  </si>
  <si>
    <t>Batcheller School</t>
  </si>
  <si>
    <t>Hinsdale School</t>
  </si>
  <si>
    <t>Pearson School</t>
  </si>
  <si>
    <t>Pupil Services</t>
  </si>
  <si>
    <t>Central Office</t>
  </si>
  <si>
    <t>Gilbert School</t>
  </si>
  <si>
    <t>Maintenance &amp; Operations</t>
  </si>
  <si>
    <t>District-Wide</t>
  </si>
  <si>
    <t>Family &amp; Community Programming</t>
  </si>
  <si>
    <t>St. Anthony's School</t>
  </si>
  <si>
    <t>ttl</t>
  </si>
  <si>
    <t>Fund 6 Budget</t>
  </si>
  <si>
    <t>Total Summary Operating Year-End</t>
  </si>
  <si>
    <t>TOWN SUPPORT FOR EDUCATION</t>
  </si>
  <si>
    <r>
      <t xml:space="preserve"> Estimated</t>
    </r>
    <r>
      <rPr>
        <b/>
        <sz val="9"/>
        <color indexed="8"/>
        <rFont val="Arial"/>
        <family val="2"/>
      </rPr>
      <t xml:space="preserve"> Adjustments</t>
    </r>
  </si>
  <si>
    <t>Title I</t>
  </si>
  <si>
    <t>Title II</t>
  </si>
  <si>
    <t>Critical Needs Fund</t>
  </si>
  <si>
    <t>projection notes</t>
  </si>
  <si>
    <t>FY2018 Anticipated Budget</t>
  </si>
  <si>
    <t>Awarded to Date</t>
  </si>
  <si>
    <t>Change</t>
  </si>
  <si>
    <t>% Change</t>
  </si>
  <si>
    <t>Town Appropriated Budget</t>
  </si>
  <si>
    <t>Federal Grants</t>
  </si>
  <si>
    <t>State Grants</t>
  </si>
  <si>
    <t>Town Support for Education</t>
  </si>
  <si>
    <t>cert staff</t>
  </si>
  <si>
    <t>noncert</t>
  </si>
  <si>
    <t>bene</t>
  </si>
  <si>
    <t>prof svc</t>
  </si>
  <si>
    <t>prop</t>
  </si>
  <si>
    <t>trans</t>
  </si>
  <si>
    <t>tuit 569 565</t>
  </si>
  <si>
    <t>gil</t>
  </si>
  <si>
    <t>othr purch</t>
  </si>
  <si>
    <t>supp</t>
  </si>
  <si>
    <t>equi[</t>
  </si>
  <si>
    <t>dues</t>
  </si>
  <si>
    <r>
      <t xml:space="preserve">IDEA 611 </t>
    </r>
    <r>
      <rPr>
        <b/>
        <sz val="12"/>
        <rFont val="Arial"/>
        <family val="2"/>
      </rPr>
      <t>Carryover</t>
    </r>
  </si>
  <si>
    <r>
      <t xml:space="preserve">IDEA 619 Preschool </t>
    </r>
    <r>
      <rPr>
        <b/>
        <sz val="12"/>
        <rFont val="Arial"/>
        <family val="2"/>
      </rPr>
      <t>Carryover</t>
    </r>
  </si>
  <si>
    <r>
      <t xml:space="preserve">Title I </t>
    </r>
    <r>
      <rPr>
        <b/>
        <sz val="12"/>
        <rFont val="Arial"/>
        <family val="2"/>
      </rPr>
      <t>Carryover</t>
    </r>
  </si>
  <si>
    <r>
      <t xml:space="preserve">Title II </t>
    </r>
    <r>
      <rPr>
        <b/>
        <sz val="12"/>
        <rFont val="Arial"/>
        <family val="2"/>
      </rPr>
      <t>Carryover</t>
    </r>
  </si>
  <si>
    <r>
      <t xml:space="preserve">YE2018 </t>
    </r>
    <r>
      <rPr>
        <b/>
        <sz val="11"/>
        <rFont val="Arial"/>
        <family val="2"/>
      </rPr>
      <t>Appropriated</t>
    </r>
    <r>
      <rPr>
        <sz val="11"/>
        <rFont val="Arial"/>
        <family val="2"/>
      </rPr>
      <t xml:space="preserve"> Budget Year to Date August 21, 2017 by </t>
    </r>
    <r>
      <rPr>
        <b/>
        <sz val="11"/>
        <rFont val="Arial"/>
        <family val="2"/>
      </rPr>
      <t>Department</t>
    </r>
  </si>
  <si>
    <t>Expended  to Date</t>
  </si>
  <si>
    <t>FY2019 Grants Update 8/31/2018</t>
  </si>
  <si>
    <t>Security</t>
  </si>
  <si>
    <t>Commissioner's Network - Pearson</t>
  </si>
  <si>
    <t>Commissioner's Network - Batcheller</t>
  </si>
  <si>
    <t>Emergency Impact Aid</t>
  </si>
  <si>
    <t>FY2019 Total Resouces Budget</t>
  </si>
  <si>
    <t>Status 8/31/2018</t>
  </si>
  <si>
    <t>FY2019 Anticipated Budget</t>
  </si>
  <si>
    <t>Student Support Title IV</t>
  </si>
  <si>
    <t>TOTAL FY2019</t>
  </si>
  <si>
    <t>Fund 5 Medicaid Reimbursements</t>
  </si>
  <si>
    <t>Estimated Adjustments</t>
  </si>
  <si>
    <t>notes</t>
  </si>
  <si>
    <t xml:space="preserve"> Town Appropriated Budget</t>
  </si>
  <si>
    <t>Winsted Family Alliance FRC</t>
  </si>
  <si>
    <r>
      <t xml:space="preserve">IDEA 611 </t>
    </r>
    <r>
      <rPr>
        <b/>
        <sz val="10"/>
        <rFont val="Arial"/>
        <family val="2"/>
      </rPr>
      <t>Carryover</t>
    </r>
  </si>
  <si>
    <r>
      <t xml:space="preserve">IDEA 619 Preschool </t>
    </r>
    <r>
      <rPr>
        <b/>
        <sz val="10"/>
        <rFont val="Arial"/>
        <family val="2"/>
      </rPr>
      <t>Carryover</t>
    </r>
  </si>
  <si>
    <r>
      <t xml:space="preserve">Title I </t>
    </r>
    <r>
      <rPr>
        <b/>
        <sz val="10"/>
        <rFont val="Arial"/>
        <family val="2"/>
      </rPr>
      <t>Carryover</t>
    </r>
  </si>
  <si>
    <r>
      <t xml:space="preserve">Title II </t>
    </r>
    <r>
      <rPr>
        <b/>
        <sz val="10"/>
        <rFont val="Arial"/>
        <family val="2"/>
      </rPr>
      <t>Carryover</t>
    </r>
  </si>
  <si>
    <r>
      <t xml:space="preserve">Student Support Title IV </t>
    </r>
    <r>
      <rPr>
        <b/>
        <sz val="10"/>
        <rFont val="Arial"/>
        <family val="2"/>
      </rPr>
      <t>Carryover</t>
    </r>
  </si>
  <si>
    <t xml:space="preserve">                                        </t>
  </si>
  <si>
    <t>Note: Grants in italics are estimates</t>
  </si>
  <si>
    <t xml:space="preserve"> ee</t>
  </si>
  <si>
    <t xml:space="preserve"> repairs</t>
  </si>
  <si>
    <t xml:space="preserve"> </t>
  </si>
  <si>
    <t>CBITS Bounce Back</t>
  </si>
  <si>
    <t>ARP IDEA 611</t>
  </si>
  <si>
    <t>ARP IDEA 619</t>
  </si>
  <si>
    <t>ESSER II Family Resource Center</t>
  </si>
  <si>
    <t>ARP CHAMPS</t>
  </si>
  <si>
    <t>CHAMPS</t>
  </si>
  <si>
    <t>Grant</t>
  </si>
  <si>
    <t>TOTALS</t>
  </si>
  <si>
    <t>TOTAL Appropriation</t>
  </si>
  <si>
    <t xml:space="preserve">ARP ESSER Homeless </t>
  </si>
  <si>
    <t>Town Appropriation</t>
  </si>
  <si>
    <t>Medicaid</t>
  </si>
  <si>
    <t>Grants</t>
  </si>
  <si>
    <t>Non-Lapsing Fund</t>
  </si>
  <si>
    <t>School Readiness COLA</t>
  </si>
  <si>
    <t>Unified Champion Schools</t>
  </si>
  <si>
    <t>School Readiness Competitive Enrollment</t>
  </si>
  <si>
    <t>TOTAL Non-Lapsing Budget</t>
  </si>
  <si>
    <t>Fund 12 TOTAL Non-Lapsing Fund</t>
  </si>
  <si>
    <t>Undesignated Non-Lapsing Fund</t>
  </si>
  <si>
    <t>Total</t>
  </si>
  <si>
    <t>FY 2022-24 Grant Award</t>
  </si>
  <si>
    <t xml:space="preserve">TOWN CAPITAL FUNDING   </t>
  </si>
  <si>
    <t>FY2024 Budget</t>
  </si>
  <si>
    <t xml:space="preserve"> Budget Description</t>
  </si>
  <si>
    <t>Town Capital Funding</t>
  </si>
  <si>
    <t>Spent Prior Years</t>
  </si>
  <si>
    <t>Dues &amp; Fees</t>
  </si>
  <si>
    <r>
      <t xml:space="preserve">ESSER II Dyslexia Recovery </t>
    </r>
    <r>
      <rPr>
        <b/>
        <sz val="10"/>
        <rFont val="Arial"/>
        <family val="2"/>
      </rPr>
      <t>Carryover</t>
    </r>
  </si>
  <si>
    <t>Budget</t>
  </si>
  <si>
    <t>Actual To Date</t>
  </si>
  <si>
    <t>INCOME</t>
  </si>
  <si>
    <t>Lunch Receipts</t>
  </si>
  <si>
    <t>NSLP Reimbursement</t>
  </si>
  <si>
    <t>HeadStart</t>
  </si>
  <si>
    <t>NSLP State Match</t>
  </si>
  <si>
    <t>Catering</t>
  </si>
  <si>
    <t>Donations, Refunds, Other</t>
  </si>
  <si>
    <t>Total Income</t>
  </si>
  <si>
    <t>EXPENSE</t>
  </si>
  <si>
    <t>Benefits</t>
  </si>
  <si>
    <t>Management Services</t>
  </si>
  <si>
    <t>Equipment Repairs</t>
  </si>
  <si>
    <t>Purchased Services</t>
  </si>
  <si>
    <t>Equipment</t>
  </si>
  <si>
    <t>Total Expense</t>
  </si>
  <si>
    <t xml:space="preserve"> Net Profit/(Loss)</t>
  </si>
  <si>
    <t>NSLP Equipment</t>
  </si>
  <si>
    <t>ARP MOE Provision</t>
  </si>
  <si>
    <t>Preschool Development Birth to Age 5</t>
  </si>
  <si>
    <t>BCBA Specialist</t>
  </si>
  <si>
    <t>Multi Media Security Pearson</t>
  </si>
  <si>
    <t>Para HDHP Deductible Assistance</t>
  </si>
  <si>
    <t>FY23 Supply Chain Assistance Grant C/O</t>
  </si>
  <si>
    <t>Projected Year End Balance</t>
  </si>
  <si>
    <t>Projected Year End</t>
  </si>
  <si>
    <t>OOD Transporation costs have increased due to lack of available drivers and additional student need</t>
  </si>
  <si>
    <t>FY24 Supply Chain Assistance Grant</t>
  </si>
  <si>
    <t>ARP Right to Read</t>
  </si>
  <si>
    <t>ARP Small Town Right to Read</t>
  </si>
  <si>
    <t>ARP ESSER High-Dosage Tutoring</t>
  </si>
  <si>
    <t>OBJECT CODE DEFINITIONS</t>
  </si>
  <si>
    <r>
      <t>000-199 Wages</t>
    </r>
    <r>
      <rPr>
        <sz val="11"/>
        <color theme="1"/>
        <rFont val="Arial"/>
        <family val="2"/>
      </rPr>
      <t xml:space="preserve"> – Includes personal services salaries for regular employees, temporary employees, overtime, contractual paid leave and stipends.</t>
    </r>
  </si>
  <si>
    <r>
      <t>200-299 Benefits</t>
    </r>
    <r>
      <rPr>
        <sz val="11"/>
        <color theme="1"/>
        <rFont val="Arial"/>
        <family val="2"/>
      </rPr>
      <t xml:space="preserve"> - Includes Group Insurance, social security, retirement, tuition reimbursement, unemployment, workers’ compensation and health benefits.</t>
    </r>
  </si>
  <si>
    <r>
      <t>300-399 Professional Technical Services</t>
    </r>
    <r>
      <rPr>
        <sz val="11"/>
        <color theme="1"/>
        <rFont val="Arial"/>
        <family val="2"/>
      </rPr>
      <t xml:space="preserve"> – Includes official/administrative services, professional educational services, employee training and development, other professional services, technical services, occupational and physical therapists, legal, audit and staffing services.</t>
    </r>
  </si>
  <si>
    <r>
      <t>400-499 Property Services</t>
    </r>
    <r>
      <rPr>
        <sz val="11"/>
        <color theme="1"/>
        <rFont val="Arial"/>
        <family val="2"/>
      </rPr>
      <t xml:space="preserve"> – Includes water/sewage, cleaning, refuse services, snow plowing, landscaping,  repairs, maintenance, equipment, vehicle maintenance and building rentals.</t>
    </r>
  </si>
  <si>
    <r>
      <t>500-599 Purchased Services</t>
    </r>
    <r>
      <rPr>
        <sz val="11"/>
        <color theme="1"/>
        <rFont val="Arial"/>
        <family val="2"/>
      </rPr>
      <t xml:space="preserve"> – Includes tuition, transportation, insurance (non employee), communications, advertising, printing, and travel.</t>
    </r>
  </si>
  <si>
    <r>
      <t>600-699 Supplies</t>
    </r>
    <r>
      <rPr>
        <sz val="11"/>
        <color theme="1"/>
        <rFont val="Arial"/>
        <family val="2"/>
      </rPr>
      <t xml:space="preserve"> – Includes general teaching &amp; office supplies, energy, natural gas, electricity, gasoline, diesel, books, periodicals, instructional software, and technology related supplies.</t>
    </r>
  </si>
  <si>
    <r>
      <t>700-799 Equipment</t>
    </r>
    <r>
      <rPr>
        <sz val="11"/>
        <color theme="1"/>
        <rFont val="Arial"/>
        <family val="2"/>
      </rPr>
      <t xml:space="preserve"> – Includes equipment, machinery, vehicles, furniture, fixtures, technology related hardware and operational software.</t>
    </r>
  </si>
  <si>
    <r>
      <t>800-899 Dues</t>
    </r>
    <r>
      <rPr>
        <sz val="11"/>
        <color theme="1"/>
        <rFont val="Arial"/>
        <family val="2"/>
      </rPr>
      <t xml:space="preserve"> - Includes dues and fees, interest and miscellaneous expenditures.</t>
    </r>
  </si>
  <si>
    <r>
      <t>900-999 Other Objects</t>
    </r>
    <r>
      <rPr>
        <sz val="11"/>
        <color theme="1"/>
        <rFont val="Arial"/>
        <family val="2"/>
      </rPr>
      <t xml:space="preserve"> – Is rarely used and is usually for special items</t>
    </r>
  </si>
  <si>
    <t xml:space="preserve">IDEA CT-SEDS Stipend </t>
  </si>
  <si>
    <t>OOD Tuition &amp; Services have increased due to student needs and additional students</t>
  </si>
  <si>
    <t>Locally Grown for CT Kids Grant</t>
  </si>
  <si>
    <t>Ct Pandemic Offset Administration Grant</t>
  </si>
  <si>
    <r>
      <t xml:space="preserve">FY2024 </t>
    </r>
    <r>
      <rPr>
        <b/>
        <sz val="12"/>
        <rFont val="Arial"/>
        <family val="2"/>
      </rPr>
      <t>Food Service</t>
    </r>
    <r>
      <rPr>
        <sz val="12"/>
        <rFont val="Arial"/>
        <family val="2"/>
      </rPr>
      <t xml:space="preserve"> Budget </t>
    </r>
  </si>
  <si>
    <t>Alliance</t>
  </si>
  <si>
    <t>New England Dairy low and Fat Free Grant</t>
  </si>
  <si>
    <t>doc, it</t>
  </si>
  <si>
    <t>tuit</t>
  </si>
  <si>
    <t>sw</t>
  </si>
  <si>
    <t>to cover OOD</t>
  </si>
  <si>
    <t>encumb adj</t>
  </si>
  <si>
    <t>IDEA transition support activities</t>
  </si>
  <si>
    <t>IDEA extended support  paras</t>
  </si>
  <si>
    <r>
      <t xml:space="preserve">FY2024 </t>
    </r>
    <r>
      <rPr>
        <b/>
        <sz val="14"/>
        <rFont val="Arial"/>
        <family val="2"/>
      </rPr>
      <t>Appropriated</t>
    </r>
    <r>
      <rPr>
        <sz val="14"/>
        <rFont val="Arial"/>
        <family val="2"/>
      </rPr>
      <t xml:space="preserve"> Budget 3Q Year to Date March 2024</t>
    </r>
  </si>
  <si>
    <t>FY2024 3Q Winchester Public Schools Budget Snapshot by Resource Year to Date March 2024</t>
  </si>
  <si>
    <t>FY2024 3Q Town Resources Summary Operating Budget Year to Date March 2024</t>
  </si>
  <si>
    <r>
      <t xml:space="preserve">FY2024 3Q </t>
    </r>
    <r>
      <rPr>
        <b/>
        <sz val="12"/>
        <rFont val="Arial"/>
        <family val="2"/>
      </rPr>
      <t>Grant</t>
    </r>
    <r>
      <rPr>
        <sz val="12"/>
        <rFont val="Arial"/>
        <family val="2"/>
      </rPr>
      <t xml:space="preserve"> Budget Year to Date March 2024</t>
    </r>
  </si>
  <si>
    <t>Year to Date March 2024</t>
  </si>
  <si>
    <t>125 net bcbs, sun life net, annuity, ss</t>
  </si>
  <si>
    <t>Julias AR zero</t>
  </si>
  <si>
    <t>adv</t>
  </si>
  <si>
    <t>20k - fund 6 46539 -69,000 encumb adj</t>
  </si>
  <si>
    <t>instr, nurse, admin, - tt I je</t>
  </si>
  <si>
    <t>lunch je, 70k IDEA 611, je 15k TT I, je 8,083 619, -10k waldron, -je tt IV, -14k risk</t>
  </si>
  <si>
    <t>OOD</t>
  </si>
  <si>
    <t>ELL Teacher changed to Full Time, Some certified new hires at higher step than budgeted</t>
  </si>
  <si>
    <t>ex cost - non lapsing  - 150k moe 660</t>
  </si>
  <si>
    <t>Char, mel 5k, 28 subs, 5 xtra duty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</si>
</sst>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##,###,##0_;;[Red]\(&quot;$&quot;###,###,##0\)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</numFmts>
  <fonts count="4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sz val="11"/>
      <color indexed="12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/>
      <sz val="1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EE24E"/>
        <bgColor indexed="64"/>
      </patternFill>
    </fill>
    <fill>
      <patternFill patternType="solid">
        <fgColor rgb="FFFFFF66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165" fontId="4" fillId="0" borderId="1" xfId="2" applyNumberFormat="1" applyFont="1" applyFill="1" applyBorder="1"/>
    <xf numFmtId="165" fontId="4" fillId="0" borderId="1" xfId="2" applyNumberFormat="1" applyFont="1" applyBorder="1"/>
    <xf numFmtId="0" fontId="4" fillId="0" borderId="2" xfId="0" applyFont="1" applyBorder="1" applyAlignment="1">
      <alignment horizontal="left"/>
    </xf>
    <xf numFmtId="166" fontId="4" fillId="0" borderId="2" xfId="1" applyNumberFormat="1" applyFont="1" applyFill="1" applyBorder="1"/>
    <xf numFmtId="0" fontId="9" fillId="0" borderId="3" xfId="0" applyFont="1" applyBorder="1" applyAlignment="1">
      <alignment horizontal="left"/>
    </xf>
    <xf numFmtId="165" fontId="9" fillId="0" borderId="4" xfId="2" applyNumberFormat="1" applyFont="1" applyBorder="1" applyAlignment="1">
      <alignment horizontal="left"/>
    </xf>
    <xf numFmtId="165" fontId="9" fillId="0" borderId="5" xfId="2" applyNumberFormat="1" applyFont="1" applyBorder="1"/>
    <xf numFmtId="165" fontId="9" fillId="0" borderId="5" xfId="2" applyNumberFormat="1" applyFont="1" applyFill="1" applyBorder="1"/>
    <xf numFmtId="0" fontId="9" fillId="0" borderId="0" xfId="0" applyFont="1"/>
    <xf numFmtId="166" fontId="4" fillId="0" borderId="1" xfId="1" applyNumberFormat="1" applyFont="1" applyFill="1" applyBorder="1"/>
    <xf numFmtId="166" fontId="4" fillId="0" borderId="1" xfId="1" applyNumberFormat="1" applyFont="1" applyBorder="1"/>
    <xf numFmtId="0" fontId="9" fillId="0" borderId="6" xfId="0" applyFont="1" applyBorder="1" applyAlignment="1">
      <alignment horizontal="left"/>
    </xf>
    <xf numFmtId="165" fontId="9" fillId="0" borderId="6" xfId="0" applyNumberFormat="1" applyFont="1" applyBorder="1" applyAlignment="1">
      <alignment horizontal="left"/>
    </xf>
    <xf numFmtId="0" fontId="4" fillId="0" borderId="7" xfId="0" applyFont="1" applyBorder="1"/>
    <xf numFmtId="0" fontId="9" fillId="0" borderId="9" xfId="0" applyFont="1" applyBorder="1" applyAlignment="1">
      <alignment horizontal="left"/>
    </xf>
    <xf numFmtId="165" fontId="4" fillId="0" borderId="10" xfId="2" applyNumberFormat="1" applyFont="1" applyBorder="1"/>
    <xf numFmtId="0" fontId="9" fillId="0" borderId="11" xfId="0" applyFont="1" applyBorder="1" applyAlignment="1">
      <alignment horizontal="left"/>
    </xf>
    <xf numFmtId="166" fontId="4" fillId="0" borderId="12" xfId="1" applyNumberFormat="1" applyFont="1" applyBorder="1"/>
    <xf numFmtId="0" fontId="9" fillId="0" borderId="7" xfId="0" applyFont="1" applyBorder="1" applyAlignment="1">
      <alignment horizontal="left"/>
    </xf>
    <xf numFmtId="165" fontId="9" fillId="0" borderId="13" xfId="2" applyNumberFormat="1" applyFont="1" applyBorder="1"/>
    <xf numFmtId="166" fontId="4" fillId="0" borderId="10" xfId="1" applyNumberFormat="1" applyFont="1" applyBorder="1"/>
    <xf numFmtId="166" fontId="4" fillId="0" borderId="0" xfId="1" applyNumberFormat="1" applyFont="1" applyBorder="1"/>
    <xf numFmtId="0" fontId="9" fillId="0" borderId="14" xfId="0" applyFont="1" applyBorder="1" applyAlignment="1">
      <alignment horizontal="left"/>
    </xf>
    <xf numFmtId="0" fontId="9" fillId="0" borderId="0" xfId="0" applyFont="1" applyAlignment="1">
      <alignment horizontal="left"/>
    </xf>
    <xf numFmtId="165" fontId="9" fillId="0" borderId="16" xfId="0" applyNumberFormat="1" applyFont="1" applyBorder="1" applyAlignment="1">
      <alignment horizontal="left"/>
    </xf>
    <xf numFmtId="165" fontId="9" fillId="0" borderId="17" xfId="0" applyNumberFormat="1" applyFont="1" applyBorder="1" applyAlignment="1">
      <alignment horizontal="left"/>
    </xf>
    <xf numFmtId="165" fontId="9" fillId="0" borderId="0" xfId="0" applyNumberFormat="1" applyFont="1"/>
    <xf numFmtId="6" fontId="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5" fontId="9" fillId="0" borderId="18" xfId="0" applyNumberFormat="1" applyFont="1" applyBorder="1"/>
    <xf numFmtId="165" fontId="9" fillId="0" borderId="0" xfId="0" applyNumberFormat="1" applyFont="1" applyAlignment="1">
      <alignment horizontal="left"/>
    </xf>
    <xf numFmtId="165" fontId="9" fillId="0" borderId="0" xfId="2" applyNumberFormat="1" applyFont="1" applyBorder="1"/>
    <xf numFmtId="166" fontId="4" fillId="0" borderId="0" xfId="0" applyNumberFormat="1" applyFont="1"/>
    <xf numFmtId="0" fontId="4" fillId="0" borderId="1" xfId="0" applyFont="1" applyBorder="1"/>
    <xf numFmtId="0" fontId="4" fillId="0" borderId="19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9" fillId="0" borderId="6" xfId="0" applyFont="1" applyBorder="1" applyAlignment="1">
      <alignment horizontal="right"/>
    </xf>
    <xf numFmtId="166" fontId="4" fillId="0" borderId="10" xfId="1" applyNumberFormat="1" applyFont="1" applyFill="1" applyBorder="1"/>
    <xf numFmtId="0" fontId="6" fillId="2" borderId="20" xfId="0" applyFont="1" applyFill="1" applyBorder="1"/>
    <xf numFmtId="0" fontId="4" fillId="2" borderId="21" xfId="0" applyFont="1" applyFill="1" applyBorder="1"/>
    <xf numFmtId="0" fontId="9" fillId="2" borderId="21" xfId="0" applyFont="1" applyFill="1" applyBorder="1"/>
    <xf numFmtId="0" fontId="9" fillId="2" borderId="22" xfId="0" applyFont="1" applyFill="1" applyBorder="1" applyAlignment="1">
      <alignment horizontal="right"/>
    </xf>
    <xf numFmtId="0" fontId="10" fillId="2" borderId="0" xfId="0" applyFont="1" applyFill="1"/>
    <xf numFmtId="0" fontId="4" fillId="2" borderId="0" xfId="0" applyFont="1" applyFill="1"/>
    <xf numFmtId="0" fontId="4" fillId="2" borderId="6" xfId="0" applyFont="1" applyFill="1" applyBorder="1"/>
    <xf numFmtId="0" fontId="4" fillId="0" borderId="22" xfId="0" applyFont="1" applyBorder="1"/>
    <xf numFmtId="0" fontId="4" fillId="0" borderId="23" xfId="0" applyFont="1" applyBorder="1"/>
    <xf numFmtId="0" fontId="4" fillId="0" borderId="20" xfId="0" applyFont="1" applyBorder="1"/>
    <xf numFmtId="0" fontId="4" fillId="0" borderId="24" xfId="0" applyFont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14" fillId="0" borderId="25" xfId="0" applyFont="1" applyBorder="1" applyAlignment="1">
      <alignment horizontal="center"/>
    </xf>
    <xf numFmtId="0" fontId="15" fillId="0" borderId="0" xfId="0" applyFont="1"/>
    <xf numFmtId="165" fontId="4" fillId="0" borderId="0" xfId="0" applyNumberFormat="1" applyFont="1"/>
    <xf numFmtId="165" fontId="4" fillId="0" borderId="0" xfId="2" applyNumberFormat="1" applyFont="1" applyBorder="1"/>
    <xf numFmtId="165" fontId="9" fillId="0" borderId="26" xfId="2" applyNumberFormat="1" applyFont="1" applyBorder="1" applyAlignment="1">
      <alignment horizontal="left"/>
    </xf>
    <xf numFmtId="165" fontId="9" fillId="0" borderId="27" xfId="2" applyNumberFormat="1" applyFont="1" applyBorder="1" applyAlignment="1">
      <alignment horizontal="left"/>
    </xf>
    <xf numFmtId="0" fontId="9" fillId="2" borderId="0" xfId="0" applyFont="1" applyFill="1" applyAlignment="1">
      <alignment horizontal="right"/>
    </xf>
    <xf numFmtId="165" fontId="4" fillId="0" borderId="29" xfId="0" applyNumberFormat="1" applyFont="1" applyBorder="1"/>
    <xf numFmtId="165" fontId="9" fillId="0" borderId="24" xfId="2" applyNumberFormat="1" applyFont="1" applyBorder="1" applyAlignment="1">
      <alignment horizontal="left"/>
    </xf>
    <xf numFmtId="165" fontId="9" fillId="0" borderId="30" xfId="0" applyNumberFormat="1" applyFont="1" applyBorder="1"/>
    <xf numFmtId="0" fontId="19" fillId="0" borderId="0" xfId="0" applyFont="1"/>
    <xf numFmtId="165" fontId="4" fillId="3" borderId="1" xfId="2" applyNumberFormat="1" applyFont="1" applyFill="1" applyBorder="1"/>
    <xf numFmtId="0" fontId="9" fillId="0" borderId="32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20" fillId="0" borderId="9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4" fillId="0" borderId="8" xfId="0" applyFont="1" applyBorder="1"/>
    <xf numFmtId="0" fontId="13" fillId="0" borderId="0" xfId="0" applyFont="1"/>
    <xf numFmtId="16" fontId="4" fillId="0" borderId="0" xfId="0" applyNumberFormat="1" applyFont="1"/>
    <xf numFmtId="0" fontId="4" fillId="0" borderId="0" xfId="0" applyFont="1" applyAlignment="1">
      <alignment horizontal="right"/>
    </xf>
    <xf numFmtId="166" fontId="13" fillId="0" borderId="0" xfId="1" applyNumberFormat="1" applyFont="1" applyFill="1" applyBorder="1"/>
    <xf numFmtId="165" fontId="13" fillId="0" borderId="0" xfId="0" applyNumberFormat="1" applyFont="1"/>
    <xf numFmtId="0" fontId="14" fillId="0" borderId="4" xfId="0" applyFont="1" applyBorder="1"/>
    <xf numFmtId="165" fontId="4" fillId="0" borderId="10" xfId="2" applyNumberFormat="1" applyFont="1" applyFill="1" applyBorder="1"/>
    <xf numFmtId="0" fontId="17" fillId="0" borderId="7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165" fontId="4" fillId="0" borderId="31" xfId="2" applyNumberFormat="1" applyFont="1" applyFill="1" applyBorder="1"/>
    <xf numFmtId="166" fontId="13" fillId="0" borderId="0" xfId="0" applyNumberFormat="1" applyFont="1"/>
    <xf numFmtId="166" fontId="13" fillId="0" borderId="0" xfId="1" applyNumberFormat="1" applyFont="1"/>
    <xf numFmtId="166" fontId="13" fillId="0" borderId="0" xfId="1" applyNumberFormat="1" applyFont="1" applyBorder="1"/>
    <xf numFmtId="166" fontId="13" fillId="0" borderId="1" xfId="1" applyNumberFormat="1" applyFont="1" applyFill="1" applyBorder="1"/>
    <xf numFmtId="0" fontId="16" fillId="0" borderId="0" xfId="0" applyFont="1"/>
    <xf numFmtId="0" fontId="22" fillId="0" borderId="0" xfId="0" applyFont="1"/>
    <xf numFmtId="0" fontId="23" fillId="0" borderId="0" xfId="0" applyFont="1"/>
    <xf numFmtId="0" fontId="10" fillId="0" borderId="1" xfId="0" applyFont="1" applyBorder="1" applyAlignment="1">
      <alignment horizontal="left"/>
    </xf>
    <xf numFmtId="0" fontId="5" fillId="4" borderId="34" xfId="0" applyFont="1" applyFill="1" applyBorder="1" applyAlignment="1">
      <alignment wrapText="1"/>
    </xf>
    <xf numFmtId="0" fontId="9" fillId="4" borderId="35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166" fontId="4" fillId="0" borderId="31" xfId="1" applyNumberFormat="1" applyFont="1" applyFill="1" applyBorder="1"/>
    <xf numFmtId="166" fontId="4" fillId="0" borderId="29" xfId="1" applyNumberFormat="1" applyFont="1" applyFill="1" applyBorder="1"/>
    <xf numFmtId="0" fontId="0" fillId="0" borderId="7" xfId="0" applyBorder="1"/>
    <xf numFmtId="0" fontId="0" fillId="0" borderId="8" xfId="0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2" fontId="13" fillId="0" borderId="1" xfId="0" applyNumberFormat="1" applyFont="1" applyBorder="1"/>
    <xf numFmtId="0" fontId="16" fillId="0" borderId="1" xfId="0" applyFont="1" applyBorder="1"/>
    <xf numFmtId="166" fontId="13" fillId="0" borderId="1" xfId="0" applyNumberFormat="1" applyFont="1" applyBorder="1"/>
    <xf numFmtId="0" fontId="13" fillId="0" borderId="19" xfId="0" applyFont="1" applyBorder="1"/>
    <xf numFmtId="165" fontId="0" fillId="0" borderId="0" xfId="0" applyNumberFormat="1"/>
    <xf numFmtId="166" fontId="13" fillId="0" borderId="1" xfId="1" applyNumberFormat="1" applyFont="1" applyBorder="1"/>
    <xf numFmtId="166" fontId="22" fillId="0" borderId="1" xfId="1" applyNumberFormat="1" applyFont="1" applyBorder="1"/>
    <xf numFmtId="165" fontId="4" fillId="0" borderId="9" xfId="2" applyNumberFormat="1" applyFont="1" applyFill="1" applyBorder="1" applyAlignment="1">
      <alignment horizontal="left"/>
    </xf>
    <xf numFmtId="166" fontId="4" fillId="0" borderId="36" xfId="0" applyNumberFormat="1" applyFont="1" applyBorder="1"/>
    <xf numFmtId="165" fontId="4" fillId="0" borderId="31" xfId="0" applyNumberFormat="1" applyFont="1" applyBorder="1"/>
    <xf numFmtId="165" fontId="9" fillId="0" borderId="14" xfId="0" applyNumberFormat="1" applyFont="1" applyBorder="1" applyAlignment="1">
      <alignment horizontal="left"/>
    </xf>
    <xf numFmtId="165" fontId="9" fillId="0" borderId="15" xfId="0" applyNumberFormat="1" applyFont="1" applyBorder="1"/>
    <xf numFmtId="166" fontId="23" fillId="0" borderId="0" xfId="1" applyNumberFormat="1" applyFont="1"/>
    <xf numFmtId="166" fontId="4" fillId="0" borderId="0" xfId="1" applyNumberFormat="1" applyFont="1"/>
    <xf numFmtId="0" fontId="4" fillId="0" borderId="0" xfId="0" applyFont="1" applyAlignment="1">
      <alignment wrapText="1"/>
    </xf>
    <xf numFmtId="0" fontId="24" fillId="0" borderId="9" xfId="0" applyFont="1" applyBorder="1" applyAlignment="1">
      <alignment horizontal="center"/>
    </xf>
    <xf numFmtId="0" fontId="25" fillId="0" borderId="0" xfId="0" applyFont="1"/>
    <xf numFmtId="0" fontId="17" fillId="0" borderId="37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166" fontId="0" fillId="0" borderId="0" xfId="1" applyNumberFormat="1" applyFont="1"/>
    <xf numFmtId="2" fontId="13" fillId="0" borderId="19" xfId="0" applyNumberFormat="1" applyFont="1" applyBorder="1"/>
    <xf numFmtId="166" fontId="13" fillId="0" borderId="19" xfId="0" applyNumberFormat="1" applyFont="1" applyBorder="1"/>
    <xf numFmtId="0" fontId="17" fillId="0" borderId="32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17" fillId="0" borderId="41" xfId="0" applyFont="1" applyBorder="1" applyAlignment="1">
      <alignment horizontal="center"/>
    </xf>
    <xf numFmtId="165" fontId="9" fillId="0" borderId="42" xfId="2" applyNumberFormat="1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5" fillId="3" borderId="34" xfId="0" applyFont="1" applyFill="1" applyBorder="1" applyAlignment="1">
      <alignment wrapText="1"/>
    </xf>
    <xf numFmtId="0" fontId="6" fillId="3" borderId="34" xfId="0" applyFont="1" applyFill="1" applyBorder="1" applyAlignment="1">
      <alignment wrapText="1"/>
    </xf>
    <xf numFmtId="0" fontId="6" fillId="3" borderId="43" xfId="0" applyFont="1" applyFill="1" applyBorder="1" applyAlignment="1">
      <alignment horizontal="center" wrapText="1"/>
    </xf>
    <xf numFmtId="0" fontId="6" fillId="3" borderId="34" xfId="0" applyFont="1" applyFill="1" applyBorder="1" applyAlignment="1">
      <alignment horizontal="center" wrapText="1"/>
    </xf>
    <xf numFmtId="0" fontId="7" fillId="3" borderId="34" xfId="0" applyFont="1" applyFill="1" applyBorder="1" applyAlignment="1">
      <alignment horizontal="center" wrapText="1"/>
    </xf>
    <xf numFmtId="164" fontId="6" fillId="3" borderId="34" xfId="2" applyNumberFormat="1" applyFont="1" applyFill="1" applyBorder="1" applyAlignment="1">
      <alignment horizontal="center" wrapText="1"/>
    </xf>
    <xf numFmtId="0" fontId="17" fillId="3" borderId="34" xfId="0" applyFont="1" applyFill="1" applyBorder="1" applyAlignment="1">
      <alignment horizontal="center" wrapText="1"/>
    </xf>
    <xf numFmtId="0" fontId="24" fillId="0" borderId="32" xfId="0" applyFont="1" applyBorder="1" applyAlignment="1">
      <alignment horizontal="center"/>
    </xf>
    <xf numFmtId="0" fontId="30" fillId="0" borderId="0" xfId="0" applyFont="1"/>
    <xf numFmtId="166" fontId="30" fillId="0" borderId="1" xfId="1" applyNumberFormat="1" applyFont="1" applyFill="1" applyBorder="1"/>
    <xf numFmtId="166" fontId="30" fillId="0" borderId="1" xfId="1" applyNumberFormat="1" applyFont="1" applyBorder="1"/>
    <xf numFmtId="0" fontId="30" fillId="0" borderId="0" xfId="0" applyFont="1" applyAlignment="1">
      <alignment horizontal="center"/>
    </xf>
    <xf numFmtId="0" fontId="28" fillId="0" borderId="0" xfId="0" applyFont="1"/>
    <xf numFmtId="0" fontId="31" fillId="3" borderId="34" xfId="0" applyFont="1" applyFill="1" applyBorder="1" applyAlignment="1">
      <alignment horizontal="center" wrapText="1"/>
    </xf>
    <xf numFmtId="0" fontId="28" fillId="0" borderId="7" xfId="0" applyFont="1" applyBorder="1"/>
    <xf numFmtId="0" fontId="28" fillId="0" borderId="8" xfId="0" applyFont="1" applyBorder="1"/>
    <xf numFmtId="0" fontId="28" fillId="0" borderId="9" xfId="0" applyFont="1" applyBorder="1" applyAlignment="1">
      <alignment horizontal="left"/>
    </xf>
    <xf numFmtId="165" fontId="28" fillId="0" borderId="1" xfId="2" applyNumberFormat="1" applyFont="1" applyFill="1" applyBorder="1"/>
    <xf numFmtId="167" fontId="28" fillId="0" borderId="10" xfId="3" applyNumberFormat="1" applyFont="1" applyFill="1" applyBorder="1"/>
    <xf numFmtId="166" fontId="4" fillId="0" borderId="0" xfId="1" applyNumberFormat="1" applyFont="1" applyFill="1" applyBorder="1"/>
    <xf numFmtId="166" fontId="28" fillId="0" borderId="1" xfId="1" applyNumberFormat="1" applyFont="1" applyFill="1" applyBorder="1"/>
    <xf numFmtId="166" fontId="28" fillId="3" borderId="44" xfId="1" applyNumberFormat="1" applyFont="1" applyFill="1" applyBorder="1"/>
    <xf numFmtId="166" fontId="28" fillId="3" borderId="29" xfId="1" applyNumberFormat="1" applyFont="1" applyFill="1" applyBorder="1"/>
    <xf numFmtId="166" fontId="22" fillId="0" borderId="0" xfId="1" applyNumberFormat="1" applyFont="1" applyBorder="1"/>
    <xf numFmtId="166" fontId="23" fillId="0" borderId="0" xfId="1" applyNumberFormat="1" applyFont="1" applyBorder="1"/>
    <xf numFmtId="0" fontId="29" fillId="0" borderId="11" xfId="0" applyFont="1" applyBorder="1" applyAlignment="1">
      <alignment horizontal="left"/>
    </xf>
    <xf numFmtId="165" fontId="29" fillId="0" borderId="2" xfId="0" applyNumberFormat="1" applyFont="1" applyBorder="1" applyAlignment="1">
      <alignment horizontal="left"/>
    </xf>
    <xf numFmtId="167" fontId="29" fillId="0" borderId="12" xfId="3" applyNumberFormat="1" applyFont="1" applyFill="1" applyBorder="1" applyAlignment="1"/>
    <xf numFmtId="0" fontId="29" fillId="0" borderId="0" xfId="0" applyFont="1" applyAlignment="1">
      <alignment horizontal="left"/>
    </xf>
    <xf numFmtId="165" fontId="29" fillId="0" borderId="0" xfId="0" applyNumberFormat="1" applyFont="1" applyAlignment="1">
      <alignment horizontal="left"/>
    </xf>
    <xf numFmtId="0" fontId="31" fillId="3" borderId="28" xfId="0" applyFont="1" applyFill="1" applyBorder="1" applyAlignment="1">
      <alignment wrapText="1"/>
    </xf>
    <xf numFmtId="0" fontId="28" fillId="0" borderId="19" xfId="0" applyFont="1" applyBorder="1" applyAlignment="1">
      <alignment horizontal="left"/>
    </xf>
    <xf numFmtId="166" fontId="4" fillId="0" borderId="0" xfId="1" applyNumberFormat="1" applyFont="1" applyFill="1"/>
    <xf numFmtId="166" fontId="28" fillId="0" borderId="25" xfId="1" applyNumberFormat="1" applyFont="1" applyFill="1" applyBorder="1"/>
    <xf numFmtId="0" fontId="32" fillId="0" borderId="22" xfId="0" applyFont="1" applyBorder="1" applyAlignment="1">
      <alignment horizontal="left"/>
    </xf>
    <xf numFmtId="166" fontId="32" fillId="0" borderId="25" xfId="1" applyNumberFormat="1" applyFont="1" applyFill="1" applyBorder="1"/>
    <xf numFmtId="166" fontId="32" fillId="0" borderId="1" xfId="1" applyNumberFormat="1" applyFont="1" applyFill="1" applyBorder="1"/>
    <xf numFmtId="167" fontId="32" fillId="0" borderId="10" xfId="3" applyNumberFormat="1" applyFont="1" applyFill="1" applyBorder="1"/>
    <xf numFmtId="9" fontId="30" fillId="0" borderId="0" xfId="0" applyNumberFormat="1" applyFont="1" applyAlignment="1">
      <alignment horizontal="center"/>
    </xf>
    <xf numFmtId="166" fontId="25" fillId="0" borderId="0" xfId="1" applyNumberFormat="1" applyFont="1"/>
    <xf numFmtId="166" fontId="25" fillId="0" borderId="0" xfId="1" applyNumberFormat="1" applyFont="1" applyFill="1"/>
    <xf numFmtId="166" fontId="25" fillId="0" borderId="0" xfId="0" applyNumberFormat="1" applyFont="1"/>
    <xf numFmtId="0" fontId="28" fillId="0" borderId="22" xfId="0" applyFont="1" applyBorder="1" applyAlignment="1">
      <alignment horizontal="left"/>
    </xf>
    <xf numFmtId="0" fontId="28" fillId="0" borderId="45" xfId="0" applyFont="1" applyBorder="1" applyAlignment="1">
      <alignment horizontal="left"/>
    </xf>
    <xf numFmtId="166" fontId="28" fillId="0" borderId="2" xfId="1" applyNumberFormat="1" applyFont="1" applyFill="1" applyBorder="1"/>
    <xf numFmtId="167" fontId="28" fillId="0" borderId="12" xfId="3" applyNumberFormat="1" applyFont="1" applyFill="1" applyBorder="1"/>
    <xf numFmtId="0" fontId="28" fillId="0" borderId="23" xfId="0" applyFont="1" applyBorder="1" applyAlignment="1">
      <alignment horizontal="left"/>
    </xf>
    <xf numFmtId="166" fontId="28" fillId="0" borderId="5" xfId="1" applyNumberFormat="1" applyFont="1" applyFill="1" applyBorder="1"/>
    <xf numFmtId="167" fontId="28" fillId="0" borderId="13" xfId="3" applyNumberFormat="1" applyFont="1" applyFill="1" applyBorder="1"/>
    <xf numFmtId="0" fontId="28" fillId="0" borderId="25" xfId="0" applyFont="1" applyBorder="1" applyAlignment="1">
      <alignment horizontal="left"/>
    </xf>
    <xf numFmtId="166" fontId="28" fillId="0" borderId="3" xfId="1" applyNumberFormat="1" applyFont="1" applyFill="1" applyBorder="1"/>
    <xf numFmtId="0" fontId="28" fillId="0" borderId="1" xfId="0" applyFont="1" applyBorder="1" applyAlignment="1">
      <alignment horizontal="left"/>
    </xf>
    <xf numFmtId="0" fontId="32" fillId="0" borderId="19" xfId="0" applyFont="1" applyBorder="1" applyAlignment="1">
      <alignment horizontal="left"/>
    </xf>
    <xf numFmtId="166" fontId="28" fillId="0" borderId="1" xfId="1" applyNumberFormat="1" applyFont="1" applyFill="1" applyBorder="1" applyAlignment="1">
      <alignment horizontal="left"/>
    </xf>
    <xf numFmtId="0" fontId="21" fillId="3" borderId="35" xfId="0" applyFont="1" applyFill="1" applyBorder="1" applyAlignment="1">
      <alignment horizontal="center"/>
    </xf>
    <xf numFmtId="0" fontId="28" fillId="3" borderId="44" xfId="0" applyFont="1" applyFill="1" applyBorder="1" applyAlignment="1">
      <alignment horizontal="left"/>
    </xf>
    <xf numFmtId="0" fontId="29" fillId="0" borderId="2" xfId="0" applyFont="1" applyBorder="1" applyAlignment="1">
      <alignment horizontal="left"/>
    </xf>
    <xf numFmtId="0" fontId="4" fillId="0" borderId="44" xfId="0" applyFont="1" applyBorder="1"/>
    <xf numFmtId="166" fontId="4" fillId="0" borderId="44" xfId="1" applyNumberFormat="1" applyFont="1" applyFill="1" applyBorder="1"/>
    <xf numFmtId="0" fontId="9" fillId="4" borderId="7" xfId="0" applyFont="1" applyFill="1" applyBorder="1" applyAlignment="1">
      <alignment horizontal="left"/>
    </xf>
    <xf numFmtId="0" fontId="13" fillId="0" borderId="19" xfId="0" applyFont="1" applyBorder="1" applyAlignment="1">
      <alignment horizontal="center"/>
    </xf>
    <xf numFmtId="0" fontId="16" fillId="0" borderId="19" xfId="0" applyFont="1" applyBorder="1"/>
    <xf numFmtId="165" fontId="9" fillId="0" borderId="15" xfId="0" applyNumberFormat="1" applyFont="1" applyBorder="1" applyAlignment="1">
      <alignment horizontal="left"/>
    </xf>
    <xf numFmtId="0" fontId="4" fillId="0" borderId="9" xfId="0" applyFont="1" applyBorder="1"/>
    <xf numFmtId="0" fontId="4" fillId="0" borderId="35" xfId="0" applyFont="1" applyBorder="1"/>
    <xf numFmtId="0" fontId="9" fillId="3" borderId="46" xfId="0" applyFont="1" applyFill="1" applyBorder="1" applyAlignment="1">
      <alignment horizontal="left"/>
    </xf>
    <xf numFmtId="0" fontId="4" fillId="3" borderId="47" xfId="0" applyFont="1" applyFill="1" applyBorder="1" applyAlignment="1">
      <alignment horizontal="left"/>
    </xf>
    <xf numFmtId="0" fontId="4" fillId="3" borderId="47" xfId="0" applyFont="1" applyFill="1" applyBorder="1"/>
    <xf numFmtId="165" fontId="4" fillId="3" borderId="47" xfId="0" applyNumberFormat="1" applyFont="1" applyFill="1" applyBorder="1"/>
    <xf numFmtId="165" fontId="4" fillId="3" borderId="48" xfId="0" applyNumberFormat="1" applyFont="1" applyFill="1" applyBorder="1"/>
    <xf numFmtId="44" fontId="4" fillId="0" borderId="10" xfId="0" applyNumberFormat="1" applyFont="1" applyBorder="1"/>
    <xf numFmtId="165" fontId="4" fillId="0" borderId="1" xfId="0" applyNumberFormat="1" applyFont="1" applyBorder="1"/>
    <xf numFmtId="0" fontId="10" fillId="0" borderId="0" xfId="0" applyFont="1"/>
    <xf numFmtId="0" fontId="17" fillId="0" borderId="1" xfId="0" applyFont="1" applyBorder="1" applyAlignment="1">
      <alignment horizontal="center"/>
    </xf>
    <xf numFmtId="167" fontId="28" fillId="0" borderId="1" xfId="3" applyNumberFormat="1" applyFont="1" applyFill="1" applyBorder="1"/>
    <xf numFmtId="166" fontId="4" fillId="3" borderId="1" xfId="1" applyNumberFormat="1" applyFont="1" applyFill="1" applyBorder="1"/>
    <xf numFmtId="0" fontId="31" fillId="5" borderId="34" xfId="0" applyFont="1" applyFill="1" applyBorder="1" applyAlignment="1">
      <alignment wrapText="1"/>
    </xf>
    <xf numFmtId="0" fontId="31" fillId="5" borderId="34" xfId="0" applyFont="1" applyFill="1" applyBorder="1" applyAlignment="1">
      <alignment horizontal="center" wrapText="1"/>
    </xf>
    <xf numFmtId="0" fontId="28" fillId="5" borderId="35" xfId="0" applyFont="1" applyFill="1" applyBorder="1" applyAlignment="1">
      <alignment horizontal="left"/>
    </xf>
    <xf numFmtId="166" fontId="28" fillId="5" borderId="44" xfId="1" applyNumberFormat="1" applyFont="1" applyFill="1" applyBorder="1"/>
    <xf numFmtId="166" fontId="28" fillId="5" borderId="29" xfId="1" applyNumberFormat="1" applyFont="1" applyFill="1" applyBorder="1"/>
    <xf numFmtId="0" fontId="17" fillId="0" borderId="49" xfId="0" applyFont="1" applyBorder="1" applyAlignment="1">
      <alignment horizontal="center"/>
    </xf>
    <xf numFmtId="0" fontId="4" fillId="3" borderId="1" xfId="0" applyFont="1" applyFill="1" applyBorder="1"/>
    <xf numFmtId="6" fontId="4" fillId="3" borderId="1" xfId="0" applyNumberFormat="1" applyFont="1" applyFill="1" applyBorder="1"/>
    <xf numFmtId="0" fontId="17" fillId="0" borderId="14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17" fillId="0" borderId="0" xfId="0" applyFont="1"/>
    <xf numFmtId="166" fontId="10" fillId="0" borderId="0" xfId="1" applyNumberFormat="1" applyFont="1"/>
    <xf numFmtId="166" fontId="10" fillId="0" borderId="1" xfId="1" applyNumberFormat="1" applyFont="1" applyBorder="1"/>
    <xf numFmtId="166" fontId="0" fillId="0" borderId="1" xfId="1" applyNumberFormat="1" applyFont="1" applyBorder="1"/>
    <xf numFmtId="165" fontId="0" fillId="0" borderId="1" xfId="2" applyNumberFormat="1" applyFont="1" applyBorder="1"/>
    <xf numFmtId="165" fontId="4" fillId="0" borderId="31" xfId="2" applyNumberFormat="1" applyFont="1" applyFill="1" applyBorder="1" applyAlignment="1">
      <alignment horizontal="left"/>
    </xf>
    <xf numFmtId="165" fontId="4" fillId="0" borderId="1" xfId="2" applyNumberFormat="1" applyFont="1" applyFill="1" applyBorder="1" applyAlignment="1">
      <alignment horizontal="left"/>
    </xf>
    <xf numFmtId="166" fontId="4" fillId="0" borderId="31" xfId="1" applyNumberFormat="1" applyFont="1" applyFill="1" applyBorder="1" applyAlignment="1">
      <alignment horizontal="left"/>
    </xf>
    <xf numFmtId="166" fontId="10" fillId="0" borderId="1" xfId="1" applyNumberFormat="1" applyFont="1" applyFill="1" applyBorder="1"/>
    <xf numFmtId="0" fontId="13" fillId="0" borderId="0" xfId="0" applyFont="1" applyAlignment="1">
      <alignment wrapText="1"/>
    </xf>
    <xf numFmtId="0" fontId="10" fillId="0" borderId="51" xfId="0" applyFont="1" applyBorder="1" applyAlignment="1">
      <alignment horizontal="left"/>
    </xf>
    <xf numFmtId="166" fontId="10" fillId="0" borderId="51" xfId="1" applyNumberFormat="1" applyFont="1" applyFill="1" applyBorder="1" applyAlignment="1">
      <alignment horizontal="left"/>
    </xf>
    <xf numFmtId="166" fontId="10" fillId="0" borderId="42" xfId="1" applyNumberFormat="1" applyFont="1" applyFill="1" applyBorder="1"/>
    <xf numFmtId="166" fontId="10" fillId="0" borderId="19" xfId="1" applyNumberFormat="1" applyFont="1" applyFill="1" applyBorder="1"/>
    <xf numFmtId="166" fontId="10" fillId="0" borderId="1" xfId="1" applyNumberFormat="1" applyFont="1" applyFill="1" applyBorder="1" applyAlignment="1">
      <alignment horizontal="left"/>
    </xf>
    <xf numFmtId="166" fontId="10" fillId="0" borderId="10" xfId="1" applyNumberFormat="1" applyFont="1" applyFill="1" applyBorder="1"/>
    <xf numFmtId="166" fontId="10" fillId="0" borderId="13" xfId="1" applyNumberFormat="1" applyFont="1" applyFill="1" applyBorder="1"/>
    <xf numFmtId="166" fontId="10" fillId="0" borderId="0" xfId="0" applyNumberFormat="1" applyFont="1"/>
    <xf numFmtId="0" fontId="17" fillId="0" borderId="6" xfId="0" applyFont="1" applyBorder="1" applyAlignment="1">
      <alignment horizontal="left"/>
    </xf>
    <xf numFmtId="165" fontId="17" fillId="0" borderId="6" xfId="0" applyNumberFormat="1" applyFont="1" applyBorder="1" applyAlignment="1">
      <alignment horizontal="left"/>
    </xf>
    <xf numFmtId="165" fontId="17" fillId="0" borderId="15" xfId="0" applyNumberFormat="1" applyFont="1" applyBorder="1" applyAlignment="1">
      <alignment horizontal="left"/>
    </xf>
    <xf numFmtId="166" fontId="10" fillId="0" borderId="0" xfId="1" applyNumberFormat="1" applyFont="1" applyBorder="1"/>
    <xf numFmtId="165" fontId="10" fillId="0" borderId="0" xfId="0" applyNumberFormat="1" applyFont="1"/>
    <xf numFmtId="166" fontId="13" fillId="0" borderId="0" xfId="0" applyNumberFormat="1" applyFont="1" applyAlignment="1">
      <alignment horizontal="center"/>
    </xf>
    <xf numFmtId="0" fontId="10" fillId="0" borderId="59" xfId="0" applyFont="1" applyBorder="1"/>
    <xf numFmtId="0" fontId="10" fillId="0" borderId="8" xfId="0" applyFont="1" applyBorder="1"/>
    <xf numFmtId="9" fontId="13" fillId="0" borderId="0" xfId="0" applyNumberFormat="1" applyFont="1" applyAlignment="1">
      <alignment horizontal="center"/>
    </xf>
    <xf numFmtId="9" fontId="13" fillId="0" borderId="0" xfId="0" applyNumberFormat="1" applyFont="1"/>
    <xf numFmtId="0" fontId="1" fillId="0" borderId="1" xfId="0" applyFont="1" applyBorder="1" applyAlignment="1">
      <alignment horizontal="left"/>
    </xf>
    <xf numFmtId="166" fontId="1" fillId="0" borderId="1" xfId="1" applyNumberFormat="1" applyFont="1" applyFill="1" applyBorder="1"/>
    <xf numFmtId="166" fontId="1" fillId="0" borderId="19" xfId="1" applyNumberFormat="1" applyFont="1" applyFill="1" applyBorder="1"/>
    <xf numFmtId="0" fontId="1" fillId="0" borderId="0" xfId="0" applyFont="1"/>
    <xf numFmtId="0" fontId="10" fillId="0" borderId="0" xfId="0" applyFont="1" applyAlignment="1">
      <alignment horizontal="center"/>
    </xf>
    <xf numFmtId="0" fontId="35" fillId="0" borderId="0" xfId="0" applyFo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" fillId="0" borderId="28" xfId="0" applyFont="1" applyBorder="1" applyAlignment="1">
      <alignment horizontal="center"/>
    </xf>
    <xf numFmtId="165" fontId="9" fillId="0" borderId="37" xfId="2" applyNumberFormat="1" applyFont="1" applyBorder="1"/>
    <xf numFmtId="166" fontId="4" fillId="0" borderId="12" xfId="1" applyNumberFormat="1" applyFont="1" applyFill="1" applyBorder="1"/>
    <xf numFmtId="166" fontId="4" fillId="0" borderId="47" xfId="1" applyNumberFormat="1" applyFont="1" applyFill="1" applyBorder="1"/>
    <xf numFmtId="166" fontId="4" fillId="0" borderId="36" xfId="1" applyNumberFormat="1" applyFont="1" applyFill="1" applyBorder="1"/>
    <xf numFmtId="0" fontId="33" fillId="0" borderId="0" xfId="0" applyFont="1" applyAlignment="1">
      <alignment horizontal="right"/>
    </xf>
    <xf numFmtId="166" fontId="13" fillId="0" borderId="0" xfId="1" applyNumberFormat="1" applyFont="1" applyFill="1" applyBorder="1" applyAlignment="1">
      <alignment wrapText="1"/>
    </xf>
    <xf numFmtId="166" fontId="4" fillId="0" borderId="9" xfId="1" applyNumberFormat="1" applyFont="1" applyFill="1" applyBorder="1" applyAlignment="1">
      <alignment horizontal="left"/>
    </xf>
    <xf numFmtId="165" fontId="9" fillId="0" borderId="16" xfId="2" applyNumberFormat="1" applyFont="1" applyBorder="1"/>
    <xf numFmtId="0" fontId="0" fillId="0" borderId="0" xfId="0" applyAlignment="1">
      <alignment horizontal="left"/>
    </xf>
    <xf numFmtId="43" fontId="0" fillId="0" borderId="0" xfId="1" applyFont="1" applyFill="1" applyAlignment="1">
      <alignment horizontal="right"/>
    </xf>
    <xf numFmtId="166" fontId="1" fillId="0" borderId="10" xfId="1" applyNumberFormat="1" applyFont="1" applyFill="1" applyBorder="1"/>
    <xf numFmtId="166" fontId="1" fillId="0" borderId="13" xfId="1" applyNumberFormat="1" applyFont="1" applyFill="1" applyBorder="1"/>
    <xf numFmtId="166" fontId="9" fillId="0" borderId="0" xfId="0" applyNumberFormat="1" applyFont="1"/>
    <xf numFmtId="165" fontId="9" fillId="0" borderId="0" xfId="2" applyNumberFormat="1" applyFont="1" applyFill="1" applyBorder="1"/>
    <xf numFmtId="166" fontId="10" fillId="0" borderId="51" xfId="1" applyNumberFormat="1" applyFont="1" applyFill="1" applyBorder="1"/>
    <xf numFmtId="165" fontId="4" fillId="0" borderId="29" xfId="1" applyNumberFormat="1" applyFont="1" applyBorder="1"/>
    <xf numFmtId="165" fontId="4" fillId="0" borderId="48" xfId="1" applyNumberFormat="1" applyFont="1" applyFill="1" applyBorder="1"/>
    <xf numFmtId="166" fontId="1" fillId="0" borderId="0" xfId="0" applyNumberFormat="1" applyFont="1"/>
    <xf numFmtId="164" fontId="5" fillId="0" borderId="7" xfId="2" applyNumberFormat="1" applyFont="1" applyFill="1" applyBorder="1" applyAlignment="1">
      <alignment horizontal="center" wrapText="1"/>
    </xf>
    <xf numFmtId="165" fontId="13" fillId="0" borderId="0" xfId="2" applyNumberFormat="1" applyFont="1" applyFill="1" applyBorder="1"/>
    <xf numFmtId="165" fontId="16" fillId="0" borderId="0" xfId="2" applyNumberFormat="1" applyFont="1" applyFill="1" applyBorder="1"/>
    <xf numFmtId="0" fontId="1" fillId="0" borderId="9" xfId="0" applyFont="1" applyBorder="1"/>
    <xf numFmtId="0" fontId="9" fillId="0" borderId="63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7" fillId="0" borderId="0" xfId="0" applyFont="1"/>
    <xf numFmtId="0" fontId="0" fillId="0" borderId="9" xfId="0" applyBorder="1"/>
    <xf numFmtId="165" fontId="0" fillId="0" borderId="10" xfId="2" applyNumberFormat="1" applyFont="1" applyBorder="1"/>
    <xf numFmtId="166" fontId="0" fillId="0" borderId="10" xfId="1" applyNumberFormat="1" applyFont="1" applyBorder="1"/>
    <xf numFmtId="0" fontId="17" fillId="0" borderId="11" xfId="0" applyFont="1" applyBorder="1" applyAlignment="1">
      <alignment horizontal="right"/>
    </xf>
    <xf numFmtId="165" fontId="17" fillId="0" borderId="2" xfId="0" applyNumberFormat="1" applyFont="1" applyBorder="1"/>
    <xf numFmtId="165" fontId="17" fillId="0" borderId="12" xfId="0" applyNumberFormat="1" applyFont="1" applyBorder="1"/>
    <xf numFmtId="0" fontId="1" fillId="0" borderId="1" xfId="0" quotePrefix="1" applyFont="1" applyBorder="1" applyAlignment="1">
      <alignment horizontal="left"/>
    </xf>
    <xf numFmtId="166" fontId="1" fillId="0" borderId="1" xfId="1" applyNumberFormat="1" applyFont="1" applyFill="1" applyBorder="1" applyAlignment="1">
      <alignment horizontal="left"/>
    </xf>
    <xf numFmtId="0" fontId="13" fillId="0" borderId="0" xfId="0" applyFont="1" applyAlignment="1">
      <alignment horizontal="left" wrapText="1"/>
    </xf>
    <xf numFmtId="43" fontId="13" fillId="0" borderId="0" xfId="0" applyNumberFormat="1" applyFont="1"/>
    <xf numFmtId="165" fontId="9" fillId="0" borderId="17" xfId="2" applyNumberFormat="1" applyFont="1" applyFill="1" applyBorder="1"/>
    <xf numFmtId="0" fontId="9" fillId="0" borderId="35" xfId="0" applyFont="1" applyBorder="1" applyAlignment="1">
      <alignment horizontal="left"/>
    </xf>
    <xf numFmtId="0" fontId="9" fillId="0" borderId="66" xfId="0" applyFont="1" applyBorder="1" applyAlignment="1">
      <alignment horizontal="left"/>
    </xf>
    <xf numFmtId="165" fontId="4" fillId="0" borderId="51" xfId="0" applyNumberFormat="1" applyFont="1" applyBorder="1" applyAlignment="1">
      <alignment horizontal="left"/>
    </xf>
    <xf numFmtId="166" fontId="4" fillId="0" borderId="51" xfId="1" applyNumberFormat="1" applyFont="1" applyFill="1" applyBorder="1"/>
    <xf numFmtId="0" fontId="9" fillId="0" borderId="40" xfId="0" applyFont="1" applyBorder="1" applyAlignment="1">
      <alignment horizontal="left"/>
    </xf>
    <xf numFmtId="165" fontId="4" fillId="0" borderId="26" xfId="2" applyNumberFormat="1" applyFont="1" applyFill="1" applyBorder="1" applyAlignment="1">
      <alignment horizontal="left"/>
    </xf>
    <xf numFmtId="166" fontId="4" fillId="0" borderId="51" xfId="1" applyNumberFormat="1" applyFont="1" applyFill="1" applyBorder="1" applyAlignment="1">
      <alignment horizontal="left"/>
    </xf>
    <xf numFmtId="166" fontId="4" fillId="0" borderId="67" xfId="1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9" fillId="0" borderId="46" xfId="0" applyFont="1" applyBorder="1" applyAlignment="1">
      <alignment horizontal="left"/>
    </xf>
    <xf numFmtId="0" fontId="9" fillId="0" borderId="1" xfId="0" applyFont="1" applyBorder="1"/>
    <xf numFmtId="165" fontId="9" fillId="0" borderId="1" xfId="2" applyNumberFormat="1" applyFont="1" applyFill="1" applyBorder="1"/>
    <xf numFmtId="0" fontId="4" fillId="0" borderId="49" xfId="0" applyFont="1" applyBorder="1" applyAlignment="1">
      <alignment horizontal="left"/>
    </xf>
    <xf numFmtId="0" fontId="14" fillId="0" borderId="0" xfId="0" applyFont="1"/>
    <xf numFmtId="165" fontId="4" fillId="0" borderId="31" xfId="2" applyNumberFormat="1" applyFont="1" applyBorder="1"/>
    <xf numFmtId="0" fontId="9" fillId="2" borderId="21" xfId="0" applyFont="1" applyFill="1" applyBorder="1" applyAlignment="1">
      <alignment horizontal="right"/>
    </xf>
    <xf numFmtId="166" fontId="4" fillId="0" borderId="31" xfId="1" applyNumberFormat="1" applyFont="1" applyBorder="1"/>
    <xf numFmtId="165" fontId="9" fillId="0" borderId="16" xfId="0" applyNumberFormat="1" applyFont="1" applyBorder="1"/>
    <xf numFmtId="0" fontId="9" fillId="0" borderId="71" xfId="0" applyFont="1" applyBorder="1"/>
    <xf numFmtId="0" fontId="9" fillId="0" borderId="72" xfId="0" applyFont="1" applyBorder="1"/>
    <xf numFmtId="0" fontId="9" fillId="0" borderId="16" xfId="0" applyFont="1" applyBorder="1"/>
    <xf numFmtId="0" fontId="9" fillId="0" borderId="72" xfId="0" applyFont="1" applyBorder="1" applyAlignment="1">
      <alignment horizontal="right"/>
    </xf>
    <xf numFmtId="165" fontId="9" fillId="0" borderId="18" xfId="2" applyNumberFormat="1" applyFont="1" applyBorder="1"/>
    <xf numFmtId="165" fontId="9" fillId="0" borderId="71" xfId="2" applyNumberFormat="1" applyFont="1" applyBorder="1"/>
    <xf numFmtId="165" fontId="9" fillId="0" borderId="72" xfId="2" applyNumberFormat="1" applyFont="1" applyBorder="1"/>
    <xf numFmtId="166" fontId="1" fillId="0" borderId="0" xfId="1" applyNumberFormat="1" applyFont="1" applyFill="1" applyBorder="1"/>
    <xf numFmtId="165" fontId="4" fillId="0" borderId="51" xfId="2" applyNumberFormat="1" applyFont="1" applyFill="1" applyBorder="1"/>
    <xf numFmtId="165" fontId="9" fillId="0" borderId="62" xfId="2" applyNumberFormat="1" applyFont="1" applyFill="1" applyBorder="1"/>
    <xf numFmtId="165" fontId="9" fillId="0" borderId="69" xfId="2" applyNumberFormat="1" applyFont="1" applyFill="1" applyBorder="1" applyAlignment="1">
      <alignment horizontal="left"/>
    </xf>
    <xf numFmtId="165" fontId="4" fillId="0" borderId="42" xfId="2" applyNumberFormat="1" applyFont="1" applyFill="1" applyBorder="1"/>
    <xf numFmtId="166" fontId="4" fillId="0" borderId="42" xfId="1" applyNumberFormat="1" applyFont="1" applyFill="1" applyBorder="1"/>
    <xf numFmtId="166" fontId="4" fillId="0" borderId="68" xfId="1" applyNumberFormat="1" applyFont="1" applyFill="1" applyBorder="1"/>
    <xf numFmtId="165" fontId="9" fillId="0" borderId="65" xfId="2" applyNumberFormat="1" applyFont="1" applyFill="1" applyBorder="1"/>
    <xf numFmtId="166" fontId="4" fillId="0" borderId="62" xfId="1" applyNumberFormat="1" applyFont="1" applyFill="1" applyBorder="1"/>
    <xf numFmtId="166" fontId="4" fillId="0" borderId="62" xfId="1" applyNumberFormat="1" applyFont="1" applyFill="1" applyBorder="1" applyAlignment="1">
      <alignment horizontal="left"/>
    </xf>
    <xf numFmtId="166" fontId="4" fillId="0" borderId="61" xfId="1" applyNumberFormat="1" applyFont="1" applyFill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61" xfId="0" applyFont="1" applyBorder="1" applyAlignment="1">
      <alignment horizontal="left"/>
    </xf>
    <xf numFmtId="166" fontId="1" fillId="0" borderId="5" xfId="1" applyNumberFormat="1" applyFont="1" applyFill="1" applyBorder="1"/>
    <xf numFmtId="0" fontId="1" fillId="0" borderId="5" xfId="0" applyFont="1" applyBorder="1" applyAlignment="1">
      <alignment horizontal="left"/>
    </xf>
    <xf numFmtId="166" fontId="1" fillId="0" borderId="5" xfId="1" applyNumberFormat="1" applyFont="1" applyFill="1" applyBorder="1" applyAlignment="1">
      <alignment horizontal="left"/>
    </xf>
    <xf numFmtId="0" fontId="17" fillId="6" borderId="9" xfId="0" applyFont="1" applyFill="1" applyBorder="1" applyAlignment="1">
      <alignment horizontal="center"/>
    </xf>
    <xf numFmtId="166" fontId="1" fillId="6" borderId="13" xfId="1" applyNumberFormat="1" applyFont="1" applyFill="1" applyBorder="1"/>
    <xf numFmtId="0" fontId="6" fillId="0" borderId="7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164" fontId="6" fillId="0" borderId="8" xfId="2" applyNumberFormat="1" applyFont="1" applyFill="1" applyBorder="1" applyAlignment="1">
      <alignment horizontal="center" wrapText="1"/>
    </xf>
    <xf numFmtId="0" fontId="17" fillId="0" borderId="7" xfId="0" applyFont="1" applyBorder="1"/>
    <xf numFmtId="165" fontId="0" fillId="0" borderId="10" xfId="2" applyNumberFormat="1" applyFont="1" applyFill="1" applyBorder="1"/>
    <xf numFmtId="166" fontId="0" fillId="0" borderId="10" xfId="1" applyNumberFormat="1" applyFont="1" applyFill="1" applyBorder="1"/>
    <xf numFmtId="0" fontId="1" fillId="0" borderId="32" xfId="0" applyFont="1" applyBorder="1"/>
    <xf numFmtId="0" fontId="1" fillId="0" borderId="11" xfId="0" applyFont="1" applyBorder="1"/>
    <xf numFmtId="166" fontId="1" fillId="0" borderId="2" xfId="1" applyNumberFormat="1" applyFont="1" applyFill="1" applyBorder="1"/>
    <xf numFmtId="166" fontId="17" fillId="0" borderId="0" xfId="1" applyNumberFormat="1" applyFont="1" applyFill="1" applyBorder="1"/>
    <xf numFmtId="166" fontId="17" fillId="0" borderId="8" xfId="1" applyNumberFormat="1" applyFont="1" applyFill="1" applyBorder="1"/>
    <xf numFmtId="166" fontId="0" fillId="0" borderId="0" xfId="1" applyNumberFormat="1" applyFont="1" applyFill="1" applyBorder="1"/>
    <xf numFmtId="166" fontId="0" fillId="0" borderId="8" xfId="1" applyNumberFormat="1" applyFont="1" applyFill="1" applyBorder="1"/>
    <xf numFmtId="166" fontId="1" fillId="0" borderId="73" xfId="1" applyNumberFormat="1" applyFont="1" applyFill="1" applyBorder="1"/>
    <xf numFmtId="166" fontId="1" fillId="0" borderId="12" xfId="1" applyNumberFormat="1" applyFont="1" applyFill="1" applyBorder="1"/>
    <xf numFmtId="166" fontId="17" fillId="0" borderId="0" xfId="1" applyNumberFormat="1" applyFont="1" applyBorder="1"/>
    <xf numFmtId="166" fontId="17" fillId="0" borderId="8" xfId="1" applyNumberFormat="1" applyFont="1" applyBorder="1"/>
    <xf numFmtId="0" fontId="1" fillId="0" borderId="1" xfId="0" applyFont="1" applyBorder="1"/>
    <xf numFmtId="0" fontId="17" fillId="0" borderId="61" xfId="0" applyFont="1" applyBorder="1"/>
    <xf numFmtId="165" fontId="17" fillId="0" borderId="62" xfId="2" applyNumberFormat="1" applyFont="1" applyFill="1" applyBorder="1"/>
    <xf numFmtId="165" fontId="17" fillId="0" borderId="65" xfId="2" applyNumberFormat="1" applyFont="1" applyFill="1" applyBorder="1"/>
    <xf numFmtId="166" fontId="0" fillId="0" borderId="0" xfId="0" applyNumberFormat="1"/>
    <xf numFmtId="0" fontId="2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66" fontId="10" fillId="0" borderId="0" xfId="1" applyNumberFormat="1" applyFont="1" applyFill="1" applyBorder="1"/>
    <xf numFmtId="0" fontId="0" fillId="0" borderId="0" xfId="0" applyAlignment="1">
      <alignment horizontal="center"/>
    </xf>
    <xf numFmtId="0" fontId="1" fillId="6" borderId="1" xfId="0" applyFont="1" applyFill="1" applyBorder="1" applyAlignment="1">
      <alignment horizontal="left"/>
    </xf>
    <xf numFmtId="166" fontId="1" fillId="0" borderId="25" xfId="1" applyNumberFormat="1" applyFont="1" applyFill="1" applyBorder="1"/>
    <xf numFmtId="165" fontId="1" fillId="0" borderId="31" xfId="2" applyNumberFormat="1" applyFont="1" applyFill="1" applyBorder="1"/>
    <xf numFmtId="14" fontId="2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left"/>
    </xf>
    <xf numFmtId="165" fontId="4" fillId="0" borderId="0" xfId="2" applyNumberFormat="1" applyFont="1" applyFill="1" applyBorder="1"/>
    <xf numFmtId="165" fontId="4" fillId="0" borderId="8" xfId="2" applyNumberFormat="1" applyFont="1" applyFill="1" applyBorder="1"/>
    <xf numFmtId="166" fontId="4" fillId="0" borderId="1" xfId="1" applyNumberFormat="1" applyFont="1" applyBorder="1" applyAlignment="1">
      <alignment horizontal="left"/>
    </xf>
    <xf numFmtId="166" fontId="4" fillId="0" borderId="69" xfId="1" applyNumberFormat="1" applyFont="1" applyFill="1" applyBorder="1"/>
    <xf numFmtId="166" fontId="4" fillId="0" borderId="34" xfId="1" applyNumberFormat="1" applyFont="1" applyFill="1" applyBorder="1"/>
    <xf numFmtId="165" fontId="4" fillId="0" borderId="0" xfId="0" applyNumberFormat="1" applyFont="1" applyBorder="1" applyAlignment="1">
      <alignment horizontal="left"/>
    </xf>
    <xf numFmtId="0" fontId="4" fillId="0" borderId="9" xfId="0" applyFont="1" applyBorder="1" applyAlignment="1">
      <alignment horizontal="left"/>
    </xf>
    <xf numFmtId="16" fontId="9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4" fillId="0" borderId="0" xfId="0" applyFont="1" applyFill="1"/>
    <xf numFmtId="0" fontId="9" fillId="0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/>
    <xf numFmtId="0" fontId="0" fillId="0" borderId="0" xfId="0"/>
    <xf numFmtId="165" fontId="9" fillId="0" borderId="24" xfId="2" applyNumberFormat="1" applyFont="1" applyBorder="1"/>
    <xf numFmtId="165" fontId="9" fillId="0" borderId="72" xfId="2" applyNumberFormat="1" applyFont="1" applyFill="1" applyBorder="1"/>
    <xf numFmtId="0" fontId="4" fillId="0" borderId="75" xfId="0" applyFont="1" applyBorder="1"/>
    <xf numFmtId="166" fontId="4" fillId="0" borderId="48" xfId="1" applyNumberFormat="1" applyFont="1" applyBorder="1"/>
    <xf numFmtId="16" fontId="38" fillId="0" borderId="0" xfId="0" applyNumberFormat="1" applyFont="1" applyFill="1" applyBorder="1" applyAlignment="1">
      <alignment horizontal="center"/>
    </xf>
    <xf numFmtId="166" fontId="1" fillId="0" borderId="1" xfId="1" applyNumberFormat="1" applyFont="1" applyBorder="1"/>
    <xf numFmtId="9" fontId="1" fillId="0" borderId="0" xfId="3" applyFont="1"/>
    <xf numFmtId="43" fontId="4" fillId="0" borderId="0" xfId="1" applyFont="1"/>
    <xf numFmtId="43" fontId="1" fillId="0" borderId="0" xfId="0" applyNumberFormat="1" applyFont="1"/>
    <xf numFmtId="0" fontId="1" fillId="0" borderId="5" xfId="0" quotePrefix="1" applyFont="1" applyBorder="1" applyAlignment="1">
      <alignment horizontal="left"/>
    </xf>
    <xf numFmtId="0" fontId="1" fillId="0" borderId="0" xfId="0" applyFont="1"/>
    <xf numFmtId="166" fontId="34" fillId="0" borderId="1" xfId="1" applyNumberFormat="1" applyFont="1" applyFill="1" applyBorder="1"/>
    <xf numFmtId="166" fontId="34" fillId="0" borderId="51" xfId="1" applyNumberFormat="1" applyFont="1" applyFill="1" applyBorder="1"/>
    <xf numFmtId="166" fontId="0" fillId="0" borderId="1" xfId="1" applyNumberFormat="1" applyFont="1" applyFill="1" applyBorder="1"/>
    <xf numFmtId="165" fontId="4" fillId="0" borderId="51" xfId="0" applyNumberFormat="1" applyFont="1" applyFill="1" applyBorder="1" applyAlignment="1">
      <alignment horizontal="left"/>
    </xf>
    <xf numFmtId="0" fontId="1" fillId="0" borderId="0" xfId="0" applyFont="1"/>
    <xf numFmtId="0" fontId="36" fillId="0" borderId="0" xfId="0" applyFont="1" applyAlignment="1">
      <alignment horizontal="center"/>
    </xf>
    <xf numFmtId="0" fontId="36" fillId="0" borderId="0" xfId="0" applyFont="1" applyFill="1" applyAlignment="1"/>
    <xf numFmtId="0" fontId="36" fillId="0" borderId="0" xfId="0" applyFont="1" applyAlignment="1"/>
    <xf numFmtId="0" fontId="40" fillId="0" borderId="0" xfId="0" applyFont="1"/>
    <xf numFmtId="0" fontId="36" fillId="0" borderId="0" xfId="0" applyFont="1"/>
    <xf numFmtId="0" fontId="36" fillId="0" borderId="0" xfId="0" applyFont="1" applyAlignment="1">
      <alignment horizontal="left" indent="8"/>
    </xf>
    <xf numFmtId="0" fontId="41" fillId="0" borderId="0" xfId="0" applyFont="1" applyAlignment="1"/>
    <xf numFmtId="0" fontId="36" fillId="0" borderId="0" xfId="0" applyFont="1" applyAlignment="1">
      <alignment textRotation="180"/>
    </xf>
    <xf numFmtId="0" fontId="4" fillId="0" borderId="14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165" fontId="9" fillId="0" borderId="6" xfId="0" applyNumberFormat="1" applyFont="1" applyFill="1" applyBorder="1" applyAlignment="1">
      <alignment horizontal="left"/>
    </xf>
    <xf numFmtId="165" fontId="9" fillId="0" borderId="15" xfId="2" applyNumberFormat="1" applyFont="1" applyFill="1" applyBorder="1"/>
    <xf numFmtId="0" fontId="17" fillId="0" borderId="9" xfId="0" quotePrefix="1" applyFont="1" applyBorder="1" applyAlignment="1">
      <alignment horizontal="center"/>
    </xf>
    <xf numFmtId="0" fontId="0" fillId="0" borderId="0" xfId="0"/>
    <xf numFmtId="0" fontId="42" fillId="0" borderId="0" xfId="0" applyFont="1" applyAlignment="1">
      <alignment horizontal="left"/>
    </xf>
    <xf numFmtId="0" fontId="0" fillId="0" borderId="0" xfId="0"/>
    <xf numFmtId="0" fontId="4" fillId="0" borderId="49" xfId="0" applyFont="1" applyFill="1" applyBorder="1" applyAlignment="1">
      <alignment horizontal="left"/>
    </xf>
    <xf numFmtId="0" fontId="4" fillId="0" borderId="67" xfId="0" applyFont="1" applyFill="1" applyBorder="1" applyAlignment="1">
      <alignment horizontal="left"/>
    </xf>
    <xf numFmtId="164" fontId="6" fillId="7" borderId="34" xfId="2" applyNumberFormat="1" applyFont="1" applyFill="1" applyBorder="1" applyAlignment="1">
      <alignment horizontal="center" wrapText="1"/>
    </xf>
    <xf numFmtId="166" fontId="13" fillId="7" borderId="8" xfId="1" applyNumberFormat="1" applyFont="1" applyFill="1" applyBorder="1"/>
    <xf numFmtId="165" fontId="4" fillId="7" borderId="29" xfId="0" applyNumberFormat="1" applyFont="1" applyFill="1" applyBorder="1"/>
    <xf numFmtId="166" fontId="4" fillId="0" borderId="67" xfId="1" applyNumberFormat="1" applyFont="1" applyFill="1" applyBorder="1"/>
    <xf numFmtId="166" fontId="36" fillId="0" borderId="1" xfId="1" applyNumberFormat="1" applyFont="1" applyFill="1" applyBorder="1" applyAlignment="1">
      <alignment horizontal="right"/>
    </xf>
    <xf numFmtId="166" fontId="36" fillId="0" borderId="1" xfId="1" applyNumberFormat="1" applyFont="1" applyFill="1" applyBorder="1" applyAlignment="1">
      <alignment horizontal="left"/>
    </xf>
    <xf numFmtId="166" fontId="1" fillId="0" borderId="2" xfId="1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0" xfId="0"/>
    <xf numFmtId="0" fontId="42" fillId="0" borderId="19" xfId="0" applyFont="1" applyBorder="1" applyAlignment="1">
      <alignment horizontal="left"/>
    </xf>
    <xf numFmtId="0" fontId="1" fillId="0" borderId="9" xfId="0" applyFont="1" applyFill="1" applyBorder="1"/>
    <xf numFmtId="166" fontId="37" fillId="0" borderId="21" xfId="1" applyNumberFormat="1" applyFont="1" applyFill="1" applyBorder="1" applyAlignment="1">
      <alignment horizontal="right"/>
    </xf>
    <xf numFmtId="0" fontId="13" fillId="0" borderId="0" xfId="0" applyFont="1" applyFill="1"/>
    <xf numFmtId="43" fontId="13" fillId="0" borderId="0" xfId="1" applyFont="1" applyFill="1" applyAlignment="1">
      <alignment horizontal="right"/>
    </xf>
    <xf numFmtId="0" fontId="6" fillId="8" borderId="34" xfId="0" applyFont="1" applyFill="1" applyBorder="1" applyAlignment="1">
      <alignment wrapText="1"/>
    </xf>
    <xf numFmtId="0" fontId="6" fillId="8" borderId="43" xfId="0" applyFont="1" applyFill="1" applyBorder="1" applyAlignment="1">
      <alignment horizontal="center" wrapText="1"/>
    </xf>
    <xf numFmtId="0" fontId="6" fillId="8" borderId="34" xfId="0" applyFont="1" applyFill="1" applyBorder="1" applyAlignment="1">
      <alignment horizontal="center" wrapText="1"/>
    </xf>
    <xf numFmtId="0" fontId="7" fillId="8" borderId="34" xfId="0" applyFont="1" applyFill="1" applyBorder="1" applyAlignment="1">
      <alignment horizontal="center" wrapText="1"/>
    </xf>
    <xf numFmtId="164" fontId="7" fillId="8" borderId="34" xfId="2" applyNumberFormat="1" applyFont="1" applyFill="1" applyBorder="1" applyAlignment="1">
      <alignment horizontal="center" wrapText="1"/>
    </xf>
    <xf numFmtId="0" fontId="9" fillId="8" borderId="35" xfId="0" applyFont="1" applyFill="1" applyBorder="1" applyAlignment="1">
      <alignment horizontal="left"/>
    </xf>
    <xf numFmtId="0" fontId="4" fillId="8" borderId="21" xfId="0" applyFont="1" applyFill="1" applyBorder="1" applyAlignment="1">
      <alignment horizontal="left"/>
    </xf>
    <xf numFmtId="166" fontId="4" fillId="8" borderId="21" xfId="1" applyNumberFormat="1" applyFont="1" applyFill="1" applyBorder="1" applyAlignment="1">
      <alignment horizontal="left"/>
    </xf>
    <xf numFmtId="166" fontId="4" fillId="8" borderId="0" xfId="1" applyNumberFormat="1" applyFont="1" applyFill="1" applyBorder="1"/>
    <xf numFmtId="166" fontId="4" fillId="8" borderId="8" xfId="1" applyNumberFormat="1" applyFont="1" applyFill="1" applyBorder="1"/>
    <xf numFmtId="0" fontId="9" fillId="8" borderId="70" xfId="0" applyFont="1" applyFill="1" applyBorder="1" applyAlignment="1">
      <alignment horizontal="left"/>
    </xf>
    <xf numFmtId="0" fontId="4" fillId="8" borderId="50" xfId="0" applyFont="1" applyFill="1" applyBorder="1" applyAlignment="1">
      <alignment horizontal="left"/>
    </xf>
    <xf numFmtId="0" fontId="4" fillId="8" borderId="50" xfId="0" applyFont="1" applyFill="1" applyBorder="1"/>
    <xf numFmtId="165" fontId="4" fillId="8" borderId="50" xfId="0" applyNumberFormat="1" applyFont="1" applyFill="1" applyBorder="1"/>
    <xf numFmtId="165" fontId="4" fillId="8" borderId="30" xfId="0" applyNumberFormat="1" applyFont="1" applyFill="1" applyBorder="1"/>
    <xf numFmtId="0" fontId="4" fillId="8" borderId="35" xfId="0" applyFont="1" applyFill="1" applyBorder="1" applyAlignment="1">
      <alignment horizontal="left"/>
    </xf>
    <xf numFmtId="165" fontId="4" fillId="8" borderId="50" xfId="0" applyNumberFormat="1" applyFont="1" applyFill="1" applyBorder="1" applyAlignment="1">
      <alignment horizontal="left"/>
    </xf>
    <xf numFmtId="165" fontId="4" fillId="8" borderId="50" xfId="2" applyNumberFormat="1" applyFont="1" applyFill="1" applyBorder="1"/>
    <xf numFmtId="165" fontId="4" fillId="8" borderId="30" xfId="2" applyNumberFormat="1" applyFont="1" applyFill="1" applyBorder="1"/>
    <xf numFmtId="0" fontId="31" fillId="8" borderId="34" xfId="0" applyFont="1" applyFill="1" applyBorder="1" applyAlignment="1">
      <alignment horizontal="center" wrapText="1"/>
    </xf>
    <xf numFmtId="0" fontId="31" fillId="8" borderId="43" xfId="0" applyFont="1" applyFill="1" applyBorder="1" applyAlignment="1">
      <alignment horizontal="center" wrapText="1"/>
    </xf>
    <xf numFmtId="164" fontId="31" fillId="8" borderId="34" xfId="2" applyNumberFormat="1" applyFont="1" applyFill="1" applyBorder="1" applyAlignment="1">
      <alignment horizontal="center" wrapText="1"/>
    </xf>
    <xf numFmtId="0" fontId="0" fillId="8" borderId="7" xfId="0" applyFill="1" applyBorder="1"/>
    <xf numFmtId="0" fontId="0" fillId="8" borderId="0" xfId="0" applyFill="1"/>
    <xf numFmtId="0" fontId="0" fillId="8" borderId="8" xfId="0" applyFill="1" applyBorder="1"/>
    <xf numFmtId="0" fontId="17" fillId="8" borderId="34" xfId="0" applyFont="1" applyFill="1" applyBorder="1" applyAlignment="1">
      <alignment horizontal="center" wrapText="1"/>
    </xf>
    <xf numFmtId="0" fontId="7" fillId="8" borderId="28" xfId="0" applyFont="1" applyFill="1" applyBorder="1" applyAlignment="1">
      <alignment wrapText="1"/>
    </xf>
    <xf numFmtId="0" fontId="7" fillId="8" borderId="43" xfId="0" applyFont="1" applyFill="1" applyBorder="1" applyAlignment="1">
      <alignment horizontal="center" wrapText="1"/>
    </xf>
    <xf numFmtId="0" fontId="24" fillId="8" borderId="64" xfId="0" applyFont="1" applyFill="1" applyBorder="1" applyAlignment="1">
      <alignment horizontal="center"/>
    </xf>
    <xf numFmtId="0" fontId="10" fillId="8" borderId="58" xfId="0" applyFont="1" applyFill="1" applyBorder="1" applyAlignment="1">
      <alignment horizontal="left"/>
    </xf>
    <xf numFmtId="166" fontId="10" fillId="8" borderId="58" xfId="1" applyNumberFormat="1" applyFont="1" applyFill="1" applyBorder="1"/>
    <xf numFmtId="166" fontId="1" fillId="8" borderId="58" xfId="1" applyNumberFormat="1" applyFont="1" applyFill="1" applyBorder="1"/>
    <xf numFmtId="166" fontId="10" fillId="8" borderId="55" xfId="1" applyNumberFormat="1" applyFont="1" applyFill="1" applyBorder="1"/>
    <xf numFmtId="164" fontId="6" fillId="8" borderId="34" xfId="2" applyNumberFormat="1" applyFont="1" applyFill="1" applyBorder="1" applyAlignment="1">
      <alignment horizontal="center" wrapText="1"/>
    </xf>
    <xf numFmtId="0" fontId="1" fillId="8" borderId="43" xfId="0" applyFont="1" applyFill="1" applyBorder="1"/>
    <xf numFmtId="166" fontId="1" fillId="8" borderId="59" xfId="1" applyNumberFormat="1" applyFont="1" applyFill="1" applyBorder="1"/>
    <xf numFmtId="166" fontId="0" fillId="8" borderId="59" xfId="1" applyNumberFormat="1" applyFont="1" applyFill="1" applyBorder="1"/>
    <xf numFmtId="166" fontId="0" fillId="8" borderId="28" xfId="1" applyNumberFormat="1" applyFont="1" applyFill="1" applyBorder="1"/>
    <xf numFmtId="0" fontId="7" fillId="8" borderId="34" xfId="0" applyFont="1" applyFill="1" applyBorder="1" applyAlignment="1">
      <alignment wrapText="1"/>
    </xf>
    <xf numFmtId="164" fontId="6" fillId="8" borderId="34" xfId="2" applyNumberFormat="1" applyFont="1" applyFill="1" applyBorder="1" applyAlignment="1">
      <alignment wrapText="1"/>
    </xf>
    <xf numFmtId="164" fontId="7" fillId="8" borderId="43" xfId="2" applyNumberFormat="1" applyFont="1" applyFill="1" applyBorder="1" applyAlignment="1">
      <alignment horizontal="center" wrapText="1"/>
    </xf>
    <xf numFmtId="0" fontId="9" fillId="8" borderId="34" xfId="0" applyFont="1" applyFill="1" applyBorder="1" applyAlignment="1">
      <alignment horizontal="center" wrapText="1"/>
    </xf>
    <xf numFmtId="0" fontId="13" fillId="8" borderId="35" xfId="0" applyFont="1" applyFill="1" applyBorder="1" applyAlignment="1">
      <alignment horizontal="left"/>
    </xf>
    <xf numFmtId="0" fontId="13" fillId="8" borderId="44" xfId="0" applyFont="1" applyFill="1" applyBorder="1" applyAlignment="1">
      <alignment horizontal="left"/>
    </xf>
    <xf numFmtId="166" fontId="13" fillId="8" borderId="44" xfId="1" applyNumberFormat="1" applyFont="1" applyFill="1" applyBorder="1" applyAlignment="1">
      <alignment horizontal="left"/>
    </xf>
    <xf numFmtId="166" fontId="13" fillId="8" borderId="0" xfId="1" applyNumberFormat="1" applyFont="1" applyFill="1" applyBorder="1"/>
    <xf numFmtId="166" fontId="13" fillId="8" borderId="8" xfId="1" applyNumberFormat="1" applyFont="1" applyFill="1" applyBorder="1"/>
    <xf numFmtId="166" fontId="13" fillId="8" borderId="7" xfId="1" applyNumberFormat="1" applyFont="1" applyFill="1" applyBorder="1"/>
    <xf numFmtId="165" fontId="4" fillId="8" borderId="8" xfId="0" applyNumberFormat="1" applyFont="1" applyFill="1" applyBorder="1"/>
    <xf numFmtId="0" fontId="4" fillId="8" borderId="44" xfId="0" applyFont="1" applyFill="1" applyBorder="1" applyAlignment="1">
      <alignment horizontal="left"/>
    </xf>
    <xf numFmtId="0" fontId="4" fillId="8" borderId="44" xfId="0" applyFont="1" applyFill="1" applyBorder="1"/>
    <xf numFmtId="165" fontId="4" fillId="8" borderId="29" xfId="0" applyNumberFormat="1" applyFont="1" applyFill="1" applyBorder="1"/>
    <xf numFmtId="165" fontId="4" fillId="8" borderId="35" xfId="0" applyNumberFormat="1" applyFont="1" applyFill="1" applyBorder="1"/>
    <xf numFmtId="165" fontId="4" fillId="8" borderId="44" xfId="0" applyNumberFormat="1" applyFont="1" applyFill="1" applyBorder="1"/>
    <xf numFmtId="165" fontId="9" fillId="8" borderId="10" xfId="2" applyNumberFormat="1" applyFont="1" applyFill="1" applyBorder="1"/>
    <xf numFmtId="16" fontId="4" fillId="8" borderId="44" xfId="0" applyNumberFormat="1" applyFont="1" applyFill="1" applyBorder="1"/>
    <xf numFmtId="0" fontId="4" fillId="8" borderId="44" xfId="0" applyFont="1" applyFill="1" applyBorder="1" applyAlignment="1">
      <alignment horizontal="right"/>
    </xf>
    <xf numFmtId="0" fontId="17" fillId="7" borderId="34" xfId="0" applyFont="1" applyFill="1" applyBorder="1" applyAlignment="1">
      <alignment horizontal="center"/>
    </xf>
    <xf numFmtId="164" fontId="6" fillId="7" borderId="28" xfId="2" applyNumberFormat="1" applyFont="1" applyFill="1" applyBorder="1" applyAlignment="1">
      <alignment horizontal="center" wrapText="1"/>
    </xf>
    <xf numFmtId="0" fontId="4" fillId="7" borderId="8" xfId="0" applyFont="1" applyFill="1" applyBorder="1"/>
    <xf numFmtId="165" fontId="4" fillId="7" borderId="29" xfId="2" applyNumberFormat="1" applyFont="1" applyFill="1" applyBorder="1"/>
    <xf numFmtId="166" fontId="4" fillId="7" borderId="48" xfId="1" applyNumberFormat="1" applyFont="1" applyFill="1" applyBorder="1"/>
    <xf numFmtId="165" fontId="9" fillId="7" borderId="53" xfId="2" applyNumberFormat="1" applyFont="1" applyFill="1" applyBorder="1" applyAlignment="1">
      <alignment horizontal="left"/>
    </xf>
    <xf numFmtId="166" fontId="4" fillId="7" borderId="29" xfId="1" applyNumberFormat="1" applyFont="1" applyFill="1" applyBorder="1"/>
    <xf numFmtId="166" fontId="4" fillId="7" borderId="54" xfId="1" applyNumberFormat="1" applyFont="1" applyFill="1" applyBorder="1"/>
    <xf numFmtId="166" fontId="4" fillId="7" borderId="55" xfId="1" applyNumberFormat="1" applyFont="1" applyFill="1" applyBorder="1"/>
    <xf numFmtId="165" fontId="9" fillId="7" borderId="30" xfId="2" applyNumberFormat="1" applyFont="1" applyFill="1" applyBorder="1"/>
    <xf numFmtId="165" fontId="9" fillId="7" borderId="8" xfId="0" applyNumberFormat="1" applyFont="1" applyFill="1" applyBorder="1" applyAlignment="1">
      <alignment horizontal="left"/>
    </xf>
    <xf numFmtId="165" fontId="9" fillId="7" borderId="25" xfId="0" applyNumberFormat="1" applyFont="1" applyFill="1" applyBorder="1" applyAlignment="1">
      <alignment horizontal="left"/>
    </xf>
    <xf numFmtId="0" fontId="9" fillId="7" borderId="3" xfId="0" applyFont="1" applyFill="1" applyBorder="1" applyAlignment="1">
      <alignment horizontal="right"/>
    </xf>
    <xf numFmtId="165" fontId="4" fillId="7" borderId="3" xfId="2" applyNumberFormat="1" applyFont="1" applyFill="1" applyBorder="1"/>
    <xf numFmtId="166" fontId="4" fillId="7" borderId="3" xfId="1" applyNumberFormat="1" applyFont="1" applyFill="1" applyBorder="1"/>
    <xf numFmtId="165" fontId="9" fillId="7" borderId="3" xfId="0" applyNumberFormat="1" applyFont="1" applyFill="1" applyBorder="1"/>
    <xf numFmtId="0" fontId="4" fillId="7" borderId="3" xfId="0" applyFont="1" applyFill="1" applyBorder="1"/>
    <xf numFmtId="0" fontId="4" fillId="7" borderId="1" xfId="0" applyFont="1" applyFill="1" applyBorder="1"/>
    <xf numFmtId="0" fontId="9" fillId="7" borderId="71" xfId="0" applyFont="1" applyFill="1" applyBorder="1"/>
    <xf numFmtId="0" fontId="4" fillId="7" borderId="56" xfId="0" applyFont="1" applyFill="1" applyBorder="1"/>
    <xf numFmtId="165" fontId="4" fillId="7" borderId="39" xfId="2" applyNumberFormat="1" applyFont="1" applyFill="1" applyBorder="1"/>
    <xf numFmtId="166" fontId="4" fillId="7" borderId="40" xfId="1" applyNumberFormat="1" applyFont="1" applyFill="1" applyBorder="1"/>
    <xf numFmtId="166" fontId="13" fillId="7" borderId="56" xfId="1" applyNumberFormat="1" applyFont="1" applyFill="1" applyBorder="1"/>
    <xf numFmtId="166" fontId="4" fillId="7" borderId="39" xfId="1" applyNumberFormat="1" applyFont="1" applyFill="1" applyBorder="1"/>
    <xf numFmtId="166" fontId="4" fillId="7" borderId="60" xfId="1" applyNumberFormat="1" applyFont="1" applyFill="1" applyBorder="1"/>
    <xf numFmtId="166" fontId="4" fillId="7" borderId="52" xfId="1" applyNumberFormat="1" applyFont="1" applyFill="1" applyBorder="1"/>
    <xf numFmtId="165" fontId="9" fillId="7" borderId="57" xfId="2" applyNumberFormat="1" applyFont="1" applyFill="1" applyBorder="1"/>
    <xf numFmtId="165" fontId="9" fillId="7" borderId="56" xfId="0" applyNumberFormat="1" applyFont="1" applyFill="1" applyBorder="1" applyAlignment="1">
      <alignment horizontal="left"/>
    </xf>
    <xf numFmtId="0" fontId="9" fillId="7" borderId="25" xfId="0" applyFont="1" applyFill="1" applyBorder="1"/>
    <xf numFmtId="0" fontId="9" fillId="7" borderId="5" xfId="0" applyFont="1" applyFill="1" applyBorder="1"/>
    <xf numFmtId="0" fontId="4" fillId="7" borderId="38" xfId="0" applyFont="1" applyFill="1" applyBorder="1"/>
    <xf numFmtId="165" fontId="9" fillId="7" borderId="76" xfId="2" applyNumberFormat="1" applyFont="1" applyFill="1" applyBorder="1" applyAlignment="1">
      <alignment horizontal="left"/>
    </xf>
    <xf numFmtId="165" fontId="4" fillId="7" borderId="39" xfId="0" applyNumberFormat="1" applyFont="1" applyFill="1" applyBorder="1"/>
    <xf numFmtId="165" fontId="9" fillId="7" borderId="60" xfId="0" applyNumberFormat="1" applyFont="1" applyFill="1" applyBorder="1" applyAlignment="1">
      <alignment horizontal="left"/>
    </xf>
    <xf numFmtId="0" fontId="9" fillId="7" borderId="56" xfId="0" applyFont="1" applyFill="1" applyBorder="1" applyAlignment="1">
      <alignment horizontal="right"/>
    </xf>
    <xf numFmtId="165" fontId="4" fillId="7" borderId="56" xfId="2" applyNumberFormat="1" applyFont="1" applyFill="1" applyBorder="1"/>
    <xf numFmtId="166" fontId="4" fillId="7" borderId="56" xfId="1" applyNumberFormat="1" applyFont="1" applyFill="1" applyBorder="1"/>
    <xf numFmtId="165" fontId="9" fillId="7" borderId="56" xfId="0" applyNumberFormat="1" applyFont="1" applyFill="1" applyBorder="1"/>
    <xf numFmtId="0" fontId="4" fillId="7" borderId="39" xfId="0" applyFont="1" applyFill="1" applyBorder="1"/>
    <xf numFmtId="0" fontId="9" fillId="7" borderId="52" xfId="0" applyFont="1" applyFill="1" applyBorder="1"/>
    <xf numFmtId="43" fontId="36" fillId="0" borderId="21" xfId="1" applyFont="1" applyFill="1" applyBorder="1" applyAlignment="1">
      <alignment horizontal="right"/>
    </xf>
    <xf numFmtId="166" fontId="13" fillId="0" borderId="0" xfId="0" applyNumberFormat="1" applyFont="1" applyAlignment="1">
      <alignment horizontal="left"/>
    </xf>
    <xf numFmtId="0" fontId="13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41" fillId="0" borderId="0" xfId="0" applyFont="1" applyAlignment="1">
      <alignment wrapText="1"/>
    </xf>
    <xf numFmtId="0" fontId="0" fillId="0" borderId="0" xfId="0" applyAlignment="1">
      <alignment wrapText="1"/>
    </xf>
    <xf numFmtId="0" fontId="39" fillId="8" borderId="0" xfId="0" applyFont="1" applyFill="1" applyAlignment="1">
      <alignment horizontal="center"/>
    </xf>
    <xf numFmtId="0" fontId="36" fillId="8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9" fillId="0" borderId="5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9" fillId="0" borderId="59" xfId="0" applyFont="1" applyBorder="1" applyAlignment="1">
      <alignment horizontal="center"/>
    </xf>
    <xf numFmtId="0" fontId="28" fillId="0" borderId="59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43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0" xfId="0" applyFont="1" applyFill="1"/>
    <xf numFmtId="0" fontId="0" fillId="0" borderId="0" xfId="0"/>
    <xf numFmtId="0" fontId="29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5" fontId="1" fillId="0" borderId="1" xfId="2" applyNumberFormat="1" applyFont="1" applyFill="1" applyBorder="1"/>
    <xf numFmtId="165" fontId="0" fillId="0" borderId="19" xfId="2" applyNumberFormat="1" applyFont="1" applyFill="1" applyBorder="1"/>
    <xf numFmtId="166" fontId="0" fillId="0" borderId="19" xfId="1" applyNumberFormat="1" applyFont="1" applyFill="1" applyBorder="1"/>
    <xf numFmtId="43" fontId="0" fillId="0" borderId="0" xfId="0" applyNumberFormat="1"/>
    <xf numFmtId="9" fontId="13" fillId="0" borderId="0" xfId="3" applyFont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3EE24E"/>
      <color rgb="FFFFFF66"/>
      <color rgb="FFBFEBF1"/>
      <color rgb="FFF2ACE0"/>
      <color rgb="FFCCFF99"/>
      <color rgb="FFF7EF8D"/>
      <color rgb="FFF4DA90"/>
      <color rgb="FF46DA62"/>
      <color rgb="FF99CC00"/>
      <color rgb="FFD65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microsoft.com/office/2017/10/relationships/person" Target="persons/person0.xml"/><Relationship Id="rId2" Type="http://schemas.openxmlformats.org/officeDocument/2006/relationships/worksheet" Target="worksheets/sheet2.xml"/><Relationship Id="rId16" Type="http://schemas.microsoft.com/office/2017/10/relationships/person" Target="persons/pers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FY2024 Daily Meal Volumes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[1]Chart!$A$5</c:f>
              <c:strCache>
                <c:ptCount val="1"/>
                <c:pt idx="0">
                  <c:v>SY24 Daily Lunches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[1]Chart!$B$4:$M$4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[1]Chart!$B$5:$M$5</c:f>
              <c:numCache>
                <c:formatCode>0</c:formatCode>
                <c:ptCount val="12"/>
                <c:pt idx="0">
                  <c:v>181.20689655172413</c:v>
                </c:pt>
                <c:pt idx="1">
                  <c:v>159.88235294117646</c:v>
                </c:pt>
                <c:pt idx="2">
                  <c:v>455.35</c:v>
                </c:pt>
                <c:pt idx="3">
                  <c:v>465.47619047619048</c:v>
                </c:pt>
                <c:pt idx="4">
                  <c:v>473.72222222222223</c:v>
                </c:pt>
                <c:pt idx="5">
                  <c:v>459.5</c:v>
                </c:pt>
                <c:pt idx="6">
                  <c:v>453.35</c:v>
                </c:pt>
                <c:pt idx="7">
                  <c:v>456.88888888888891</c:v>
                </c:pt>
                <c:pt idx="8">
                  <c:v>446.89473684210526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6-42C8-B16D-9AE95F12EE0D}"/>
            </c:ext>
          </c:extLst>
        </c:ser>
        <c:ser>
          <c:idx val="1"/>
          <c:order val="1"/>
          <c:tx>
            <c:strRef>
              <c:f>[1]Chart!$A$6</c:f>
              <c:strCache>
                <c:ptCount val="1"/>
                <c:pt idx="0">
                  <c:v>SY24 Daily Breakfasts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[1]Chart!$B$4:$M$4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[1]Chart!$B$6:$M$6</c:f>
              <c:numCache>
                <c:formatCode>0</c:formatCode>
                <c:ptCount val="12"/>
                <c:pt idx="0">
                  <c:v>186.20689655172413</c:v>
                </c:pt>
                <c:pt idx="1">
                  <c:v>159.64705882352942</c:v>
                </c:pt>
                <c:pt idx="2">
                  <c:v>382.8</c:v>
                </c:pt>
                <c:pt idx="3">
                  <c:v>391.52380952380952</c:v>
                </c:pt>
                <c:pt idx="4">
                  <c:v>394.11111111111109</c:v>
                </c:pt>
                <c:pt idx="5">
                  <c:v>384.3125</c:v>
                </c:pt>
                <c:pt idx="6">
                  <c:v>318.5</c:v>
                </c:pt>
                <c:pt idx="7">
                  <c:v>371.61111111111109</c:v>
                </c:pt>
                <c:pt idx="8">
                  <c:v>372.63157894736844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E6-42C8-B16D-9AE95F12EE0D}"/>
            </c:ext>
          </c:extLst>
        </c:ser>
        <c:ser>
          <c:idx val="2"/>
          <c:order val="2"/>
          <c:tx>
            <c:strRef>
              <c:f>[1]Chart!$A$7</c:f>
              <c:strCache>
                <c:ptCount val="1"/>
                <c:pt idx="0">
                  <c:v>SY23 Daily Lunches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[1]Chart!$B$4:$M$4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[1]Chart!$B$7:$M$7</c:f>
              <c:numCache>
                <c:formatCode>0</c:formatCode>
                <c:ptCount val="12"/>
                <c:pt idx="0">
                  <c:v>37.85</c:v>
                </c:pt>
                <c:pt idx="1">
                  <c:v>36.799999999999997</c:v>
                </c:pt>
                <c:pt idx="2">
                  <c:v>419.63636363636363</c:v>
                </c:pt>
                <c:pt idx="3">
                  <c:v>432.05</c:v>
                </c:pt>
                <c:pt idx="4">
                  <c:v>463.27777777777777</c:v>
                </c:pt>
                <c:pt idx="5">
                  <c:v>393.29411764705884</c:v>
                </c:pt>
                <c:pt idx="6">
                  <c:v>450</c:v>
                </c:pt>
                <c:pt idx="7">
                  <c:v>462.8235294117647</c:v>
                </c:pt>
                <c:pt idx="8">
                  <c:v>466.25</c:v>
                </c:pt>
                <c:pt idx="9">
                  <c:v>481.35714285714283</c:v>
                </c:pt>
                <c:pt idx="10">
                  <c:v>482.36363636363637</c:v>
                </c:pt>
                <c:pt idx="11">
                  <c:v>452.38461538461536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E6-42C8-B16D-9AE95F12EE0D}"/>
            </c:ext>
          </c:extLst>
        </c:ser>
        <c:ser>
          <c:idx val="3"/>
          <c:order val="3"/>
          <c:tx>
            <c:strRef>
              <c:f>[1]Chart!$A$8</c:f>
              <c:strCache>
                <c:ptCount val="1"/>
                <c:pt idx="0">
                  <c:v>SY23 Daily Breakfasts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[1]Chart!$B$4:$M$4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Sept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[1]Chart!$B$8:$M$8</c:f>
              <c:numCache>
                <c:formatCode>0</c:formatCode>
                <c:ptCount val="12"/>
                <c:pt idx="0">
                  <c:v>40.950000000000003</c:v>
                </c:pt>
                <c:pt idx="1">
                  <c:v>27.866666666666667</c:v>
                </c:pt>
                <c:pt idx="2">
                  <c:v>348.68181818181819</c:v>
                </c:pt>
                <c:pt idx="3">
                  <c:v>370</c:v>
                </c:pt>
                <c:pt idx="4">
                  <c:v>379.05555555555554</c:v>
                </c:pt>
                <c:pt idx="5">
                  <c:v>292.23529411764707</c:v>
                </c:pt>
                <c:pt idx="6">
                  <c:v>368.26315789473682</c:v>
                </c:pt>
                <c:pt idx="7">
                  <c:v>361.05882352941177</c:v>
                </c:pt>
                <c:pt idx="8">
                  <c:v>374.25</c:v>
                </c:pt>
                <c:pt idx="9">
                  <c:v>393.07142857142856</c:v>
                </c:pt>
                <c:pt idx="10">
                  <c:v>382</c:v>
                </c:pt>
                <c:pt idx="11">
                  <c:v>452.38461538461536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E6-42C8-B16D-9AE95F12E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3935631"/>
        <c:axId val="253937295"/>
      </c:barChart>
      <c:catAx>
        <c:axId val="253935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937295"/>
        <c:crosses val="autoZero"/>
        <c:auto val="1"/>
        <c:lblAlgn val="ctr"/>
        <c:lblOffset val="100"/>
        <c:noMultiLvlLbl val="0"/>
      </c:catAx>
      <c:valAx>
        <c:axId val="2539372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935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2577865266841641E-2"/>
          <c:y val="0.95389325587201579"/>
          <c:w val="0.83706649168853886"/>
          <c:h val="2.45432786596802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409574</xdr:colOff>
      <xdr:row>32</xdr:row>
      <xdr:rowOff>76199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od%20Service/2024/Meal%20Volumes%20FY2024%20to%20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hart"/>
    </sheetNames>
    <sheetDataSet>
      <sheetData sheetId="0"/>
      <sheetData sheetId="1">
        <row r="4">
          <cell r="B4" t="str">
            <v>Jul</v>
          </cell>
          <cell r="C4" t="str">
            <v>Aug</v>
          </cell>
          <cell r="D4" t="str">
            <v>Sept</v>
          </cell>
          <cell r="E4" t="str">
            <v>Oct</v>
          </cell>
          <cell r="F4" t="str">
            <v>Nov</v>
          </cell>
          <cell r="G4" t="str">
            <v>Dec</v>
          </cell>
          <cell r="H4" t="str">
            <v>Jan</v>
          </cell>
          <cell r="I4" t="str">
            <v>Feb</v>
          </cell>
          <cell r="J4" t="str">
            <v>Mar</v>
          </cell>
          <cell r="K4" t="str">
            <v>Apr</v>
          </cell>
          <cell r="L4" t="str">
            <v>May</v>
          </cell>
          <cell r="M4" t="str">
            <v>Jun</v>
          </cell>
        </row>
        <row r="5">
          <cell r="A5" t="str">
            <v>SY24 Daily Lunches</v>
          </cell>
          <cell r="B5">
            <v>181.20689655172413</v>
          </cell>
          <cell r="C5">
            <v>159.88235294117646</v>
          </cell>
          <cell r="D5">
            <v>455.35</v>
          </cell>
          <cell r="E5">
            <v>465.47619047619048</v>
          </cell>
          <cell r="F5">
            <v>473.72222222222223</v>
          </cell>
          <cell r="G5">
            <v>459.5</v>
          </cell>
          <cell r="H5">
            <v>453.35</v>
          </cell>
          <cell r="I5">
            <v>456.88888888888891</v>
          </cell>
          <cell r="J5">
            <v>446.89473684210526</v>
          </cell>
          <cell r="K5" t="e">
            <v>#DIV/0!</v>
          </cell>
          <cell r="L5" t="e">
            <v>#DIV/0!</v>
          </cell>
          <cell r="M5" t="e">
            <v>#DIV/0!</v>
          </cell>
        </row>
        <row r="6">
          <cell r="A6" t="str">
            <v>SY24 Daily Breakfasts</v>
          </cell>
          <cell r="B6">
            <v>186.20689655172413</v>
          </cell>
          <cell r="C6">
            <v>159.64705882352942</v>
          </cell>
          <cell r="D6">
            <v>382.8</v>
          </cell>
          <cell r="E6">
            <v>391.52380952380952</v>
          </cell>
          <cell r="F6">
            <v>394.11111111111109</v>
          </cell>
          <cell r="G6">
            <v>384.3125</v>
          </cell>
          <cell r="H6">
            <v>318.5</v>
          </cell>
          <cell r="I6">
            <v>371.61111111111109</v>
          </cell>
          <cell r="J6">
            <v>372.63157894736844</v>
          </cell>
          <cell r="K6" t="e">
            <v>#DIV/0!</v>
          </cell>
          <cell r="L6" t="e">
            <v>#DIV/0!</v>
          </cell>
          <cell r="M6" t="e">
            <v>#DIV/0!</v>
          </cell>
        </row>
        <row r="7">
          <cell r="A7" t="str">
            <v>SY23 Daily Lunches</v>
          </cell>
          <cell r="B7">
            <v>37.85</v>
          </cell>
          <cell r="C7">
            <v>36.799999999999997</v>
          </cell>
          <cell r="D7">
            <v>419.63636363636363</v>
          </cell>
          <cell r="E7">
            <v>432.05</v>
          </cell>
          <cell r="F7">
            <v>463.27777777777777</v>
          </cell>
          <cell r="G7">
            <v>393.29411764705884</v>
          </cell>
          <cell r="H7">
            <v>450</v>
          </cell>
          <cell r="I7">
            <v>462.8235294117647</v>
          </cell>
          <cell r="J7">
            <v>466.25</v>
          </cell>
          <cell r="K7">
            <v>481.35714285714283</v>
          </cell>
          <cell r="L7">
            <v>482.36363636363637</v>
          </cell>
          <cell r="M7">
            <v>452.38461538461536</v>
          </cell>
        </row>
        <row r="8">
          <cell r="A8" t="str">
            <v>SY23 Daily Breakfasts</v>
          </cell>
          <cell r="B8">
            <v>40.950000000000003</v>
          </cell>
          <cell r="C8">
            <v>27.866666666666667</v>
          </cell>
          <cell r="D8">
            <v>348.68181818181819</v>
          </cell>
          <cell r="E8">
            <v>370</v>
          </cell>
          <cell r="F8">
            <v>379.05555555555554</v>
          </cell>
          <cell r="G8">
            <v>292.23529411764707</v>
          </cell>
          <cell r="H8">
            <v>368.26315789473682</v>
          </cell>
          <cell r="I8">
            <v>361.05882352941177</v>
          </cell>
          <cell r="J8">
            <v>374.25</v>
          </cell>
          <cell r="K8">
            <v>393.07142857142856</v>
          </cell>
          <cell r="L8">
            <v>382</v>
          </cell>
          <cell r="M8">
            <v>452.38461538461536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C30" sqref="C30"/>
    </sheetView>
  </sheetViews>
  <sheetFormatPr defaultRowHeight="12.75" x14ac:dyDescent="0.2"/>
  <cols>
    <col min="1" max="1" width="30.7109375" customWidth="1"/>
    <col min="2" max="6" width="16.7109375" customWidth="1"/>
    <col min="7" max="7" width="18.7109375" customWidth="1"/>
  </cols>
  <sheetData>
    <row r="1" spans="1:8" s="280" customFormat="1" ht="24.95" customHeight="1" x14ac:dyDescent="0.3">
      <c r="A1" s="528" t="s">
        <v>207</v>
      </c>
      <c r="B1" s="528"/>
      <c r="C1" s="528"/>
      <c r="D1" s="528"/>
      <c r="E1" s="528"/>
      <c r="F1" s="528"/>
      <c r="G1" s="528"/>
      <c r="H1" s="279"/>
    </row>
    <row r="2" spans="1:8" ht="24.95" customHeight="1" x14ac:dyDescent="0.25">
      <c r="D2" s="373"/>
    </row>
    <row r="4" spans="1:8" ht="13.5" thickBot="1" x14ac:dyDescent="0.25"/>
    <row r="5" spans="1:8" ht="36" customHeight="1" thickBot="1" x14ac:dyDescent="0.3">
      <c r="A5" s="447" t="s">
        <v>145</v>
      </c>
      <c r="B5" s="448" t="s">
        <v>2</v>
      </c>
      <c r="C5" s="447" t="s">
        <v>3</v>
      </c>
      <c r="D5" s="447" t="s">
        <v>4</v>
      </c>
      <c r="E5" s="447" t="s">
        <v>5</v>
      </c>
      <c r="F5" s="447" t="s">
        <v>107</v>
      </c>
      <c r="G5" s="449" t="s">
        <v>175</v>
      </c>
    </row>
    <row r="6" spans="1:8" x14ac:dyDescent="0.2">
      <c r="A6" s="99"/>
      <c r="G6" s="100"/>
    </row>
    <row r="7" spans="1:8" ht="20.100000000000001" customHeight="1" x14ac:dyDescent="0.2">
      <c r="A7" s="281" t="s">
        <v>131</v>
      </c>
      <c r="B7" s="222">
        <f>Appropriated!D33</f>
        <v>21504910</v>
      </c>
      <c r="C7" s="222">
        <f>Appropriated!E33</f>
        <v>15708435.93</v>
      </c>
      <c r="D7" s="222">
        <f>Appropriated!F33</f>
        <v>6115546.7999999989</v>
      </c>
      <c r="E7" s="222">
        <f>Appropriated!G33</f>
        <v>-319072.72999999858</v>
      </c>
      <c r="F7" s="222">
        <f>Appropriated!H33</f>
        <v>-324334</v>
      </c>
      <c r="G7" s="282">
        <f>Appropriated!I33</f>
        <v>5261.2700000025507</v>
      </c>
    </row>
    <row r="8" spans="1:8" ht="20.100000000000001" customHeight="1" x14ac:dyDescent="0.2">
      <c r="A8" s="281" t="s">
        <v>77</v>
      </c>
      <c r="B8" s="221">
        <f>'Town $ Summary'!J23</f>
        <v>697272</v>
      </c>
      <c r="C8" s="221">
        <f>'Town $ Summary'!K23</f>
        <v>378018</v>
      </c>
      <c r="D8" s="221">
        <f>'Town $ Summary'!L23</f>
        <v>278715</v>
      </c>
      <c r="E8" s="221">
        <f>B8-C8-D8</f>
        <v>40539</v>
      </c>
      <c r="F8" s="221">
        <f>'Town $ Summary'!M23</f>
        <v>40539</v>
      </c>
      <c r="G8" s="283">
        <f>F8-E8</f>
        <v>0</v>
      </c>
    </row>
    <row r="9" spans="1:8" ht="20.100000000000001" customHeight="1" x14ac:dyDescent="0.2">
      <c r="A9" s="276" t="s">
        <v>146</v>
      </c>
      <c r="B9" s="221">
        <f>'Town $ Summary'!J40</f>
        <v>200000</v>
      </c>
      <c r="C9" s="221">
        <f>'Town $ Summary'!K40</f>
        <v>190000</v>
      </c>
      <c r="D9" s="221">
        <f>'Town $ Summary'!L40</f>
        <v>10000</v>
      </c>
      <c r="E9" s="221">
        <f>B9-C9-D9</f>
        <v>0</v>
      </c>
      <c r="F9" s="221">
        <f>'Town $ Summary'!M40</f>
        <v>-10000</v>
      </c>
      <c r="G9" s="283">
        <f>'Town $ Summary'!O40</f>
        <v>10000</v>
      </c>
    </row>
    <row r="10" spans="1:8" ht="20.100000000000001" customHeight="1" x14ac:dyDescent="0.2">
      <c r="A10" s="281" t="s">
        <v>134</v>
      </c>
      <c r="B10" s="221">
        <f>Appropriated!D45</f>
        <v>565530</v>
      </c>
      <c r="C10" s="221">
        <f>Appropriated!E45</f>
        <v>0</v>
      </c>
      <c r="D10" s="221">
        <f>Appropriated!F45</f>
        <v>358952</v>
      </c>
      <c r="E10" s="221">
        <f>Appropriated!G45</f>
        <v>206578</v>
      </c>
      <c r="F10" s="221">
        <f>Appropriated!H45</f>
        <v>206578</v>
      </c>
      <c r="G10" s="283">
        <f>Appropriated!I45</f>
        <v>0</v>
      </c>
      <c r="H10" s="249"/>
    </row>
    <row r="11" spans="1:8" ht="20.100000000000001" customHeight="1" x14ac:dyDescent="0.2">
      <c r="A11" s="281" t="s">
        <v>133</v>
      </c>
      <c r="B11" s="221">
        <f>Grants!F47</f>
        <v>3364642</v>
      </c>
      <c r="C11" s="221">
        <f>Grants!G47</f>
        <v>1471772.14</v>
      </c>
      <c r="D11" s="221">
        <f>Grants!H47</f>
        <v>907196.75</v>
      </c>
      <c r="E11" s="221">
        <f>Grants!I47</f>
        <v>985672.89000000013</v>
      </c>
      <c r="F11" s="221">
        <f>Grants!J47</f>
        <v>295851</v>
      </c>
      <c r="G11" s="283">
        <f>Grants!K47</f>
        <v>689821.89000000013</v>
      </c>
    </row>
    <row r="12" spans="1:8" ht="20.100000000000001" customHeight="1" x14ac:dyDescent="0.2">
      <c r="A12" s="281" t="s">
        <v>132</v>
      </c>
      <c r="B12" s="221">
        <f>Appropriated!D49</f>
        <v>65000</v>
      </c>
      <c r="C12" s="221">
        <f>Appropriated!E49</f>
        <v>43628</v>
      </c>
      <c r="D12" s="221">
        <f>Appropriated!F49</f>
        <v>23272</v>
      </c>
      <c r="E12" s="221">
        <f>Appropriated!G49</f>
        <v>-1900</v>
      </c>
      <c r="F12" s="221">
        <f>Appropriated!H49</f>
        <v>-1900</v>
      </c>
      <c r="G12" s="283">
        <f>Appropriated!I49</f>
        <v>0</v>
      </c>
    </row>
    <row r="13" spans="1:8" x14ac:dyDescent="0.2">
      <c r="A13" s="450"/>
      <c r="B13" s="451"/>
      <c r="C13" s="451"/>
      <c r="D13" s="451"/>
      <c r="E13" s="451"/>
      <c r="F13" s="451"/>
      <c r="G13" s="452"/>
    </row>
    <row r="14" spans="1:8" s="218" customFormat="1" ht="24.95" customHeight="1" thickBot="1" x14ac:dyDescent="0.25">
      <c r="A14" s="284" t="s">
        <v>141</v>
      </c>
      <c r="B14" s="285">
        <f>SUM(B7:B13)</f>
        <v>26397354</v>
      </c>
      <c r="C14" s="285">
        <f t="shared" ref="C14:G14" si="0">SUM(C7:C13)</f>
        <v>17791854.07</v>
      </c>
      <c r="D14" s="285">
        <f t="shared" si="0"/>
        <v>7693682.5499999989</v>
      </c>
      <c r="E14" s="285">
        <f t="shared" si="0"/>
        <v>911817.16000000155</v>
      </c>
      <c r="F14" s="285">
        <f t="shared" si="0"/>
        <v>206734</v>
      </c>
      <c r="G14" s="286">
        <f t="shared" si="0"/>
        <v>705083.16000000271</v>
      </c>
    </row>
  </sheetData>
  <mergeCells count="1">
    <mergeCell ref="A1:G1"/>
  </mergeCells>
  <printOptions horizontalCentered="1" verticalCentered="1"/>
  <pageMargins left="0" right="0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73"/>
  <sheetViews>
    <sheetView workbookViewId="0">
      <selection activeCell="AK18" sqref="AK18"/>
    </sheetView>
  </sheetViews>
  <sheetFormatPr defaultRowHeight="15" x14ac:dyDescent="0.2"/>
  <cols>
    <col min="1" max="1" width="9.140625" style="1"/>
    <col min="2" max="2" width="6.5703125" style="72" customWidth="1"/>
    <col min="3" max="3" width="40.85546875" style="144" customWidth="1"/>
    <col min="4" max="4" width="14" style="1" customWidth="1"/>
    <col min="5" max="5" width="14.28515625" style="144" customWidth="1"/>
    <col min="6" max="6" width="15" style="144" customWidth="1"/>
    <col min="7" max="8" width="12.7109375" style="144" customWidth="1"/>
    <col min="9" max="9" width="11.5703125" style="76" hidden="1" customWidth="1"/>
    <col min="10" max="10" width="6.85546875" style="87" hidden="1" customWidth="1"/>
    <col min="11" max="11" width="4.7109375" style="87" hidden="1" customWidth="1"/>
    <col min="12" max="12" width="6.85546875" style="87" hidden="1" customWidth="1"/>
    <col min="13" max="13" width="4.7109375" style="87" hidden="1" customWidth="1"/>
    <col min="14" max="15" width="6" style="87" hidden="1" customWidth="1"/>
    <col min="16" max="17" width="4.7109375" style="87" hidden="1" customWidth="1"/>
    <col min="18" max="18" width="6.85546875" style="87" hidden="1" customWidth="1"/>
    <col min="19" max="19" width="9.140625" style="1" hidden="1" customWidth="1"/>
    <col min="20" max="20" width="11.5703125" style="96" bestFit="1" customWidth="1"/>
    <col min="21" max="27" width="9.85546875" style="1" hidden="1" customWidth="1"/>
    <col min="28" max="28" width="3" style="1" hidden="1" customWidth="1"/>
    <col min="29" max="32" width="9.85546875" style="1" hidden="1" customWidth="1"/>
    <col min="33" max="33" width="11.5703125" style="1" hidden="1" customWidth="1"/>
    <col min="34" max="34" width="0" style="1" hidden="1" customWidth="1"/>
    <col min="35" max="249" width="9.140625" style="1"/>
  </cols>
  <sheetData>
    <row r="1" spans="1:249" ht="18" x14ac:dyDescent="0.25">
      <c r="B1" s="554" t="s">
        <v>25</v>
      </c>
      <c r="C1" s="569"/>
      <c r="D1" s="569"/>
      <c r="E1" s="569"/>
      <c r="F1" s="569"/>
      <c r="G1" s="569"/>
      <c r="H1" s="569"/>
    </row>
    <row r="2" spans="1:249" x14ac:dyDescent="0.25">
      <c r="B2" s="570" t="s">
        <v>96</v>
      </c>
      <c r="C2" s="571"/>
      <c r="D2" s="571"/>
      <c r="E2" s="571"/>
      <c r="F2" s="571"/>
      <c r="G2" s="571"/>
      <c r="H2" s="571"/>
    </row>
    <row r="3" spans="1:249" ht="15.75" thickBot="1" x14ac:dyDescent="0.25"/>
    <row r="4" spans="1:249" ht="87" thickBot="1" x14ac:dyDescent="0.3">
      <c r="B4" s="138" t="s">
        <v>36</v>
      </c>
      <c r="C4" s="162" t="s">
        <v>1</v>
      </c>
      <c r="D4" s="145" t="s">
        <v>70</v>
      </c>
      <c r="E4" s="145" t="s">
        <v>71</v>
      </c>
      <c r="F4" s="145" t="s">
        <v>72</v>
      </c>
      <c r="G4" s="145" t="s">
        <v>73</v>
      </c>
      <c r="H4" s="76"/>
      <c r="I4" s="87"/>
      <c r="K4" s="76" t="s">
        <v>44</v>
      </c>
      <c r="R4" s="1"/>
      <c r="S4" s="126"/>
      <c r="T4" s="117" t="s">
        <v>78</v>
      </c>
      <c r="U4" s="117" t="s">
        <v>79</v>
      </c>
      <c r="V4" s="117" t="s">
        <v>80</v>
      </c>
      <c r="W4" s="117" t="s">
        <v>81</v>
      </c>
      <c r="X4" s="117" t="s">
        <v>82</v>
      </c>
      <c r="Y4" s="117" t="s">
        <v>83</v>
      </c>
      <c r="Z4" s="117" t="s">
        <v>84</v>
      </c>
      <c r="AA4" s="117" t="s">
        <v>85</v>
      </c>
      <c r="AB4" s="117" t="s">
        <v>86</v>
      </c>
      <c r="AC4" s="117" t="s">
        <v>87</v>
      </c>
      <c r="AD4" s="1" t="s">
        <v>88</v>
      </c>
      <c r="AE4" s="1" t="s">
        <v>89</v>
      </c>
      <c r="AF4" s="1" t="s">
        <v>61</v>
      </c>
    </row>
    <row r="5" spans="1:249" x14ac:dyDescent="0.2">
      <c r="B5" s="83"/>
      <c r="D5" s="144"/>
      <c r="G5" s="147"/>
      <c r="H5" s="1"/>
      <c r="I5" s="89">
        <v>100</v>
      </c>
      <c r="J5" s="89">
        <v>200</v>
      </c>
      <c r="K5" s="89">
        <v>300</v>
      </c>
      <c r="L5" s="89">
        <v>400</v>
      </c>
      <c r="M5" s="89">
        <v>500</v>
      </c>
      <c r="N5" s="89">
        <v>600</v>
      </c>
      <c r="O5" s="89">
        <v>700</v>
      </c>
      <c r="P5" s="89">
        <v>800</v>
      </c>
      <c r="Q5" s="89" t="s">
        <v>61</v>
      </c>
      <c r="R5" s="1"/>
      <c r="S5" s="96"/>
      <c r="T5" s="1"/>
    </row>
    <row r="6" spans="1:249" x14ac:dyDescent="0.2">
      <c r="B6" s="84">
        <v>634</v>
      </c>
      <c r="C6" s="163" t="s">
        <v>41</v>
      </c>
      <c r="D6" s="149">
        <v>304222</v>
      </c>
      <c r="E6" s="149">
        <v>304222</v>
      </c>
      <c r="F6" s="149">
        <f>E6-D6</f>
        <v>0</v>
      </c>
      <c r="G6" s="150">
        <f>F6/D6</f>
        <v>0</v>
      </c>
      <c r="H6" s="76"/>
      <c r="I6" s="89">
        <v>3201</v>
      </c>
      <c r="J6" s="89"/>
      <c r="K6" s="108">
        <v>2853</v>
      </c>
      <c r="L6" s="108"/>
      <c r="M6" s="108"/>
      <c r="N6" s="108"/>
      <c r="O6" s="108"/>
      <c r="P6" s="108"/>
      <c r="Q6" s="89">
        <f t="shared" ref="Q6:Q27" si="0">SUM(I6:P6)</f>
        <v>6054</v>
      </c>
      <c r="R6" s="1"/>
      <c r="S6" s="96"/>
      <c r="T6" s="116">
        <v>272027</v>
      </c>
      <c r="U6" s="116"/>
      <c r="V6" s="116"/>
      <c r="W6" s="116">
        <f>5667+500+8803</f>
        <v>14970</v>
      </c>
      <c r="X6" s="116"/>
      <c r="Y6" s="116"/>
      <c r="Z6" s="116"/>
      <c r="AA6" s="116"/>
      <c r="AB6" s="116"/>
      <c r="AC6" s="116">
        <v>16539</v>
      </c>
      <c r="AD6" s="116">
        <v>1500</v>
      </c>
      <c r="AE6" s="116"/>
      <c r="AF6" s="164">
        <f t="shared" ref="AF6:AF23" si="1">SUM(T6:AE6)</f>
        <v>305036</v>
      </c>
      <c r="AG6" s="36">
        <f>AF6-D6</f>
        <v>814</v>
      </c>
    </row>
    <row r="7" spans="1:249" ht="15.75" x14ac:dyDescent="0.25">
      <c r="B7" s="84">
        <v>653</v>
      </c>
      <c r="C7" s="163" t="s">
        <v>90</v>
      </c>
      <c r="D7" s="152">
        <v>42653</v>
      </c>
      <c r="E7" s="152">
        <v>42653</v>
      </c>
      <c r="F7" s="152">
        <f>E7-D7</f>
        <v>0</v>
      </c>
      <c r="G7" s="150">
        <f t="shared" ref="G7:G24" si="2">F7/D7</f>
        <v>0</v>
      </c>
      <c r="H7" s="76"/>
      <c r="I7" s="89"/>
      <c r="J7" s="89"/>
      <c r="K7" s="108"/>
      <c r="L7" s="108"/>
      <c r="M7" s="108"/>
      <c r="N7" s="108"/>
      <c r="O7" s="108"/>
      <c r="P7" s="108"/>
      <c r="Q7" s="89">
        <f t="shared" si="0"/>
        <v>0</v>
      </c>
      <c r="R7" s="1"/>
      <c r="S7" s="96"/>
      <c r="T7" s="116"/>
      <c r="U7" s="116"/>
      <c r="V7" s="116"/>
      <c r="W7" s="116">
        <f>6167+8803</f>
        <v>14970</v>
      </c>
      <c r="X7" s="116"/>
      <c r="Y7" s="116"/>
      <c r="Z7" s="116"/>
      <c r="AA7" s="116"/>
      <c r="AB7" s="116"/>
      <c r="AC7" s="116">
        <f>(18123-17970)+1500</f>
        <v>1653</v>
      </c>
      <c r="AD7" s="116">
        <v>1500</v>
      </c>
      <c r="AE7" s="116"/>
      <c r="AF7" s="164">
        <f t="shared" si="1"/>
        <v>18123</v>
      </c>
      <c r="AG7" s="36">
        <f t="shared" ref="AG7:AG19" si="3">AF7-D7</f>
        <v>-24530</v>
      </c>
    </row>
    <row r="8" spans="1:249" x14ac:dyDescent="0.2">
      <c r="B8" s="84">
        <v>635</v>
      </c>
      <c r="C8" s="163" t="s">
        <v>42</v>
      </c>
      <c r="D8" s="152">
        <v>13255</v>
      </c>
      <c r="E8" s="152">
        <v>13255</v>
      </c>
      <c r="F8" s="152">
        <f t="shared" ref="F8:F24" si="4">E8-D8</f>
        <v>0</v>
      </c>
      <c r="G8" s="150">
        <f t="shared" si="2"/>
        <v>0</v>
      </c>
      <c r="H8" s="76"/>
      <c r="I8" s="89"/>
      <c r="J8" s="89"/>
      <c r="K8" s="108"/>
      <c r="L8" s="108"/>
      <c r="M8" s="108"/>
      <c r="N8" s="108"/>
      <c r="O8" s="108"/>
      <c r="P8" s="108"/>
      <c r="Q8" s="89">
        <f t="shared" si="0"/>
        <v>0</v>
      </c>
      <c r="R8" s="1"/>
      <c r="S8" s="96"/>
      <c r="T8" s="116"/>
      <c r="U8" s="116">
        <v>14063</v>
      </c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64">
        <f t="shared" si="1"/>
        <v>14063</v>
      </c>
      <c r="AG8" s="36">
        <f t="shared" si="3"/>
        <v>808</v>
      </c>
    </row>
    <row r="9" spans="1:249" ht="15.75" x14ac:dyDescent="0.25">
      <c r="B9" s="125">
        <v>652</v>
      </c>
      <c r="C9" s="163" t="s">
        <v>91</v>
      </c>
      <c r="D9" s="165">
        <v>1993</v>
      </c>
      <c r="E9" s="165">
        <v>1993</v>
      </c>
      <c r="F9" s="152">
        <f t="shared" si="4"/>
        <v>0</v>
      </c>
      <c r="G9" s="150">
        <v>1</v>
      </c>
      <c r="H9" s="76"/>
      <c r="I9" s="89"/>
      <c r="J9" s="89"/>
      <c r="K9" s="108"/>
      <c r="L9" s="108"/>
      <c r="M9" s="108"/>
      <c r="N9" s="108"/>
      <c r="O9" s="108"/>
      <c r="P9" s="108"/>
      <c r="Q9" s="89"/>
      <c r="R9" s="1"/>
      <c r="S9" s="9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64"/>
      <c r="AG9" s="36"/>
    </row>
    <row r="10" spans="1:249" x14ac:dyDescent="0.2">
      <c r="A10" s="119"/>
      <c r="B10" s="139">
        <v>636</v>
      </c>
      <c r="C10" s="166" t="s">
        <v>66</v>
      </c>
      <c r="D10" s="167">
        <v>220035</v>
      </c>
      <c r="E10" s="167"/>
      <c r="F10" s="168">
        <f t="shared" si="4"/>
        <v>-220035</v>
      </c>
      <c r="G10" s="169">
        <f t="shared" si="2"/>
        <v>-1</v>
      </c>
      <c r="H10" s="140"/>
      <c r="I10" s="141"/>
      <c r="J10" s="141"/>
      <c r="K10" s="142"/>
      <c r="L10" s="142"/>
      <c r="M10" s="142"/>
      <c r="N10" s="142"/>
      <c r="O10" s="142"/>
      <c r="P10" s="142"/>
      <c r="Q10" s="141"/>
      <c r="R10" s="119"/>
      <c r="S10" s="170"/>
      <c r="T10" s="171">
        <f>42330+81188+10646</f>
        <v>134164</v>
      </c>
      <c r="U10" s="171">
        <v>4000</v>
      </c>
      <c r="V10" s="171"/>
      <c r="W10" s="171">
        <v>9426</v>
      </c>
      <c r="X10" s="171"/>
      <c r="Y10" s="171"/>
      <c r="Z10" s="171"/>
      <c r="AA10" s="171"/>
      <c r="AB10" s="171"/>
      <c r="AC10" s="171">
        <v>77802</v>
      </c>
      <c r="AD10" s="171"/>
      <c r="AE10" s="171"/>
      <c r="AF10" s="172">
        <f t="shared" si="1"/>
        <v>225392</v>
      </c>
      <c r="AG10" s="173">
        <f t="shared" si="3"/>
        <v>5357</v>
      </c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</row>
    <row r="11" spans="1:249" ht="15.75" x14ac:dyDescent="0.25">
      <c r="B11" s="125">
        <v>654</v>
      </c>
      <c r="C11" s="174" t="s">
        <v>92</v>
      </c>
      <c r="D11" s="165">
        <v>34473</v>
      </c>
      <c r="E11" s="165">
        <v>34473</v>
      </c>
      <c r="F11" s="152">
        <f t="shared" si="4"/>
        <v>0</v>
      </c>
      <c r="G11" s="150">
        <f t="shared" si="2"/>
        <v>0</v>
      </c>
      <c r="H11" s="76"/>
      <c r="I11" s="89"/>
      <c r="J11" s="89"/>
      <c r="K11" s="108"/>
      <c r="L11" s="108"/>
      <c r="M11" s="108"/>
      <c r="N11" s="108"/>
      <c r="O11" s="108"/>
      <c r="P11" s="108"/>
      <c r="Q11" s="89"/>
      <c r="R11" s="1"/>
      <c r="S11" s="96"/>
      <c r="T11" s="116"/>
      <c r="U11" s="116"/>
      <c r="V11" s="116"/>
      <c r="W11" s="116">
        <v>9426</v>
      </c>
      <c r="X11" s="116"/>
      <c r="Y11" s="116"/>
      <c r="Z11" s="116"/>
      <c r="AA11" s="116"/>
      <c r="AB11" s="116"/>
      <c r="AC11" s="116">
        <f>33809-9426</f>
        <v>24383</v>
      </c>
      <c r="AD11" s="116"/>
      <c r="AE11" s="116"/>
      <c r="AF11" s="164">
        <f t="shared" si="1"/>
        <v>33809</v>
      </c>
      <c r="AG11" s="36">
        <f t="shared" si="3"/>
        <v>-664</v>
      </c>
    </row>
    <row r="12" spans="1:249" x14ac:dyDescent="0.2">
      <c r="A12" s="119"/>
      <c r="B12" s="139">
        <v>637</v>
      </c>
      <c r="C12" s="166" t="s">
        <v>67</v>
      </c>
      <c r="D12" s="167">
        <v>38517</v>
      </c>
      <c r="E12" s="167"/>
      <c r="F12" s="168">
        <f t="shared" si="4"/>
        <v>-38517</v>
      </c>
      <c r="G12" s="169">
        <f t="shared" si="2"/>
        <v>-1</v>
      </c>
      <c r="H12" s="140"/>
      <c r="I12" s="141"/>
      <c r="J12" s="141"/>
      <c r="K12" s="142"/>
      <c r="L12" s="142"/>
      <c r="M12" s="142"/>
      <c r="N12" s="142"/>
      <c r="O12" s="142"/>
      <c r="P12" s="142"/>
      <c r="Q12" s="141"/>
      <c r="R12" s="119"/>
      <c r="S12" s="143"/>
      <c r="T12" s="171">
        <v>23945</v>
      </c>
      <c r="U12" s="171"/>
      <c r="V12" s="171"/>
      <c r="W12" s="171">
        <v>24250</v>
      </c>
      <c r="X12" s="171"/>
      <c r="Y12" s="171"/>
      <c r="Z12" s="171"/>
      <c r="AA12" s="171"/>
      <c r="AB12" s="171"/>
      <c r="AC12" s="171"/>
      <c r="AD12" s="171">
        <v>7306</v>
      </c>
      <c r="AE12" s="171"/>
      <c r="AF12" s="172">
        <f t="shared" si="1"/>
        <v>55501</v>
      </c>
      <c r="AG12" s="173">
        <f t="shared" si="3"/>
        <v>16984</v>
      </c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</row>
    <row r="13" spans="1:249" ht="16.5" thickBot="1" x14ac:dyDescent="0.3">
      <c r="B13" s="121">
        <v>655</v>
      </c>
      <c r="C13" s="175" t="s">
        <v>93</v>
      </c>
      <c r="D13" s="176">
        <v>5764</v>
      </c>
      <c r="E13" s="176">
        <v>5764</v>
      </c>
      <c r="F13" s="176">
        <f t="shared" si="4"/>
        <v>0</v>
      </c>
      <c r="G13" s="177">
        <f t="shared" si="2"/>
        <v>0</v>
      </c>
      <c r="H13" s="80">
        <f>SUM(D6:D13)</f>
        <v>660912</v>
      </c>
      <c r="I13" s="89"/>
      <c r="J13" s="89"/>
      <c r="K13" s="108"/>
      <c r="L13" s="108"/>
      <c r="M13" s="108"/>
      <c r="N13" s="108"/>
      <c r="O13" s="108"/>
      <c r="P13" s="108"/>
      <c r="Q13" s="89"/>
      <c r="R13" s="1"/>
      <c r="S13" s="96"/>
      <c r="T13" s="116"/>
      <c r="U13" s="116"/>
      <c r="V13" s="116"/>
      <c r="W13" s="116">
        <v>20920</v>
      </c>
      <c r="X13" s="116"/>
      <c r="Y13" s="116"/>
      <c r="Z13" s="116"/>
      <c r="AA13" s="116"/>
      <c r="AB13" s="116"/>
      <c r="AC13" s="116"/>
      <c r="AD13" s="116">
        <f>28667-20920</f>
        <v>7747</v>
      </c>
      <c r="AE13" s="116"/>
      <c r="AF13" s="164">
        <f t="shared" si="1"/>
        <v>28667</v>
      </c>
      <c r="AG13" s="36">
        <f t="shared" si="3"/>
        <v>22903</v>
      </c>
    </row>
    <row r="14" spans="1:249" x14ac:dyDescent="0.2">
      <c r="B14" s="120">
        <v>639</v>
      </c>
      <c r="C14" s="178" t="s">
        <v>43</v>
      </c>
      <c r="D14" s="179">
        <v>200966</v>
      </c>
      <c r="E14" s="179">
        <v>200966</v>
      </c>
      <c r="F14" s="179">
        <f t="shared" si="4"/>
        <v>0</v>
      </c>
      <c r="G14" s="180">
        <f t="shared" si="2"/>
        <v>0</v>
      </c>
      <c r="H14" s="76"/>
      <c r="I14" s="89"/>
      <c r="J14" s="89"/>
      <c r="K14" s="108"/>
      <c r="L14" s="108"/>
      <c r="M14" s="108"/>
      <c r="N14" s="108"/>
      <c r="O14" s="108"/>
      <c r="P14" s="108"/>
      <c r="Q14" s="89">
        <f t="shared" si="0"/>
        <v>0</v>
      </c>
      <c r="R14" s="1"/>
      <c r="S14" s="96"/>
      <c r="T14" s="116">
        <f>22178+80000</f>
        <v>102178</v>
      </c>
      <c r="U14" s="116">
        <f>150725-105277</f>
        <v>45448</v>
      </c>
      <c r="V14" s="116"/>
      <c r="W14" s="116">
        <v>3099</v>
      </c>
      <c r="X14" s="116"/>
      <c r="Y14" s="116"/>
      <c r="Z14" s="116"/>
      <c r="AA14" s="116"/>
      <c r="AB14" s="116"/>
      <c r="AC14" s="116"/>
      <c r="AD14" s="116"/>
      <c r="AE14" s="116"/>
      <c r="AF14" s="164">
        <f t="shared" si="1"/>
        <v>150725</v>
      </c>
      <c r="AG14" s="36">
        <f t="shared" si="3"/>
        <v>-50241</v>
      </c>
    </row>
    <row r="15" spans="1:249" x14ac:dyDescent="0.2">
      <c r="B15" s="128">
        <v>627</v>
      </c>
      <c r="C15" s="181" t="s">
        <v>32</v>
      </c>
      <c r="D15" s="182">
        <v>103000</v>
      </c>
      <c r="E15" s="182">
        <v>100000</v>
      </c>
      <c r="F15" s="152">
        <f t="shared" si="4"/>
        <v>-3000</v>
      </c>
      <c r="G15" s="150">
        <f t="shared" si="2"/>
        <v>-2.9126213592233011E-2</v>
      </c>
      <c r="H15" s="76"/>
      <c r="I15" s="89"/>
      <c r="J15" s="89"/>
      <c r="K15" s="108"/>
      <c r="L15" s="108"/>
      <c r="M15" s="108"/>
      <c r="N15" s="108"/>
      <c r="O15" s="108"/>
      <c r="P15" s="108"/>
      <c r="Q15" s="89">
        <f t="shared" si="0"/>
        <v>0</v>
      </c>
      <c r="R15" s="1"/>
      <c r="S15" s="96"/>
      <c r="T15" s="116"/>
      <c r="U15" s="116">
        <f>60363+30773</f>
        <v>91136</v>
      </c>
      <c r="V15" s="116">
        <v>6972</v>
      </c>
      <c r="W15" s="116">
        <v>2820</v>
      </c>
      <c r="X15" s="116"/>
      <c r="Y15" s="116"/>
      <c r="Z15" s="116"/>
      <c r="AA15" s="116"/>
      <c r="AB15" s="116">
        <v>1750</v>
      </c>
      <c r="AC15" s="116">
        <f>161*2</f>
        <v>322</v>
      </c>
      <c r="AD15" s="116"/>
      <c r="AE15" s="116"/>
      <c r="AF15" s="164">
        <f t="shared" si="1"/>
        <v>103000</v>
      </c>
      <c r="AG15" s="36">
        <f t="shared" si="3"/>
        <v>0</v>
      </c>
    </row>
    <row r="16" spans="1:249" x14ac:dyDescent="0.2">
      <c r="B16" s="84">
        <v>629</v>
      </c>
      <c r="C16" s="183" t="s">
        <v>16</v>
      </c>
      <c r="D16" s="152">
        <v>275764</v>
      </c>
      <c r="E16" s="152">
        <v>275764</v>
      </c>
      <c r="F16" s="152">
        <f t="shared" si="4"/>
        <v>0</v>
      </c>
      <c r="G16" s="150">
        <f t="shared" si="2"/>
        <v>0</v>
      </c>
      <c r="H16" s="76"/>
      <c r="I16" s="89"/>
      <c r="J16" s="89"/>
      <c r="K16" s="89"/>
      <c r="L16" s="89"/>
      <c r="M16" s="89"/>
      <c r="N16" s="89"/>
      <c r="O16" s="89"/>
      <c r="P16" s="89"/>
      <c r="Q16" s="89">
        <f t="shared" si="0"/>
        <v>0</v>
      </c>
      <c r="R16" s="1"/>
      <c r="S16" s="96"/>
      <c r="T16" s="164"/>
      <c r="U16" s="164">
        <v>11469</v>
      </c>
      <c r="V16" s="164">
        <v>877</v>
      </c>
      <c r="W16" s="164">
        <v>526</v>
      </c>
      <c r="X16" s="164"/>
      <c r="Y16" s="164"/>
      <c r="Z16" s="164"/>
      <c r="AA16" s="164"/>
      <c r="AB16" s="164">
        <f>260+160632+102000</f>
        <v>262892</v>
      </c>
      <c r="AC16" s="164"/>
      <c r="AD16" s="164"/>
      <c r="AE16" s="164"/>
      <c r="AF16" s="164">
        <f t="shared" si="1"/>
        <v>275764</v>
      </c>
      <c r="AG16" s="36">
        <f t="shared" si="3"/>
        <v>0</v>
      </c>
    </row>
    <row r="17" spans="1:249" x14ac:dyDescent="0.2">
      <c r="B17" s="84">
        <v>632</v>
      </c>
      <c r="C17" s="163" t="s">
        <v>33</v>
      </c>
      <c r="D17" s="152">
        <v>121470</v>
      </c>
      <c r="E17" s="152"/>
      <c r="F17" s="152">
        <f t="shared" si="4"/>
        <v>-121470</v>
      </c>
      <c r="G17" s="150">
        <f t="shared" si="2"/>
        <v>-1</v>
      </c>
      <c r="H17" s="76"/>
      <c r="I17" s="89"/>
      <c r="J17" s="89"/>
      <c r="K17" s="89"/>
      <c r="L17" s="89"/>
      <c r="M17" s="89"/>
      <c r="N17" s="89"/>
      <c r="O17" s="89"/>
      <c r="P17" s="89"/>
      <c r="Q17" s="89">
        <f t="shared" si="0"/>
        <v>0</v>
      </c>
      <c r="R17" s="1"/>
      <c r="S17" s="96"/>
      <c r="T17" s="164"/>
      <c r="U17" s="164">
        <f>28209+1500+40037+9751</f>
        <v>79497</v>
      </c>
      <c r="V17" s="164"/>
      <c r="W17" s="164">
        <v>1000</v>
      </c>
      <c r="X17" s="164"/>
      <c r="Y17" s="164"/>
      <c r="Z17" s="164"/>
      <c r="AA17" s="164"/>
      <c r="AB17" s="164">
        <f>3960+28000+15480</f>
        <v>47440</v>
      </c>
      <c r="AC17" s="164">
        <f>1077+7168</f>
        <v>8245</v>
      </c>
      <c r="AD17" s="164"/>
      <c r="AE17" s="164">
        <v>7168</v>
      </c>
      <c r="AF17" s="164">
        <f t="shared" si="1"/>
        <v>143350</v>
      </c>
      <c r="AG17" s="36">
        <f t="shared" si="3"/>
        <v>21880</v>
      </c>
    </row>
    <row r="18" spans="1:249" x14ac:dyDescent="0.2">
      <c r="B18" s="84">
        <v>633</v>
      </c>
      <c r="C18" s="163" t="s">
        <v>37</v>
      </c>
      <c r="D18" s="152">
        <v>3881</v>
      </c>
      <c r="E18" s="152">
        <v>3881</v>
      </c>
      <c r="F18" s="152">
        <f t="shared" si="4"/>
        <v>0</v>
      </c>
      <c r="G18" s="150">
        <f t="shared" si="2"/>
        <v>0</v>
      </c>
      <c r="H18" s="76"/>
      <c r="I18" s="89"/>
      <c r="J18" s="89"/>
      <c r="K18" s="89"/>
      <c r="L18" s="89"/>
      <c r="M18" s="89"/>
      <c r="N18" s="89"/>
      <c r="O18" s="89"/>
      <c r="P18" s="89"/>
      <c r="Q18" s="89">
        <f t="shared" si="0"/>
        <v>0</v>
      </c>
      <c r="R18" s="1"/>
      <c r="S18" s="96"/>
      <c r="T18" s="164"/>
      <c r="U18" s="164"/>
      <c r="V18" s="164"/>
      <c r="W18" s="164"/>
      <c r="X18" s="164"/>
      <c r="Y18" s="164"/>
      <c r="Z18" s="164"/>
      <c r="AA18" s="164"/>
      <c r="AB18" s="164">
        <v>3881</v>
      </c>
      <c r="AC18" s="164"/>
      <c r="AD18" s="164"/>
      <c r="AE18" s="164"/>
      <c r="AF18" s="164">
        <f t="shared" si="1"/>
        <v>3881</v>
      </c>
      <c r="AG18" s="36">
        <f t="shared" si="3"/>
        <v>0</v>
      </c>
    </row>
    <row r="19" spans="1:249" x14ac:dyDescent="0.2">
      <c r="B19" s="84">
        <v>638</v>
      </c>
      <c r="C19" s="163" t="s">
        <v>34</v>
      </c>
      <c r="D19" s="152">
        <v>7297</v>
      </c>
      <c r="E19" s="152"/>
      <c r="F19" s="152">
        <f t="shared" si="4"/>
        <v>-7297</v>
      </c>
      <c r="G19" s="150">
        <f t="shared" si="2"/>
        <v>-1</v>
      </c>
      <c r="H19" s="76"/>
      <c r="I19" s="89"/>
      <c r="J19" s="89"/>
      <c r="K19" s="89"/>
      <c r="L19" s="89"/>
      <c r="M19" s="89"/>
      <c r="N19" s="89"/>
      <c r="O19" s="89"/>
      <c r="P19" s="89"/>
      <c r="Q19" s="89">
        <f t="shared" si="0"/>
        <v>0</v>
      </c>
      <c r="R19" s="1"/>
      <c r="S19" s="96"/>
      <c r="T19" s="164">
        <v>2286</v>
      </c>
      <c r="U19" s="164"/>
      <c r="V19" s="164"/>
      <c r="W19" s="164"/>
      <c r="X19" s="164"/>
      <c r="Y19" s="164"/>
      <c r="Z19" s="164"/>
      <c r="AA19" s="164"/>
      <c r="AB19" s="164"/>
      <c r="AC19" s="164">
        <v>3530</v>
      </c>
      <c r="AD19" s="164"/>
      <c r="AE19" s="164"/>
      <c r="AF19" s="164">
        <f t="shared" si="1"/>
        <v>5816</v>
      </c>
      <c r="AG19" s="36">
        <f t="shared" si="3"/>
        <v>-1481</v>
      </c>
    </row>
    <row r="20" spans="1:249" x14ac:dyDescent="0.2">
      <c r="B20" s="84">
        <v>640</v>
      </c>
      <c r="C20" s="163" t="s">
        <v>97</v>
      </c>
      <c r="D20" s="152">
        <v>72487</v>
      </c>
      <c r="E20" s="152">
        <v>72487</v>
      </c>
      <c r="F20" s="152">
        <f t="shared" si="4"/>
        <v>0</v>
      </c>
      <c r="G20" s="150">
        <f t="shared" si="2"/>
        <v>0</v>
      </c>
      <c r="H20" s="76"/>
      <c r="I20" s="89"/>
      <c r="J20" s="89"/>
      <c r="K20" s="108"/>
      <c r="L20" s="108"/>
      <c r="M20" s="108"/>
      <c r="N20" s="108"/>
      <c r="O20" s="108"/>
      <c r="P20" s="108"/>
      <c r="Q20" s="89">
        <f t="shared" si="0"/>
        <v>0</v>
      </c>
      <c r="R20" s="1"/>
      <c r="S20" s="96"/>
      <c r="T20" s="116"/>
      <c r="U20" s="116"/>
      <c r="V20" s="116"/>
      <c r="W20" s="116"/>
      <c r="X20" s="116"/>
      <c r="Y20" s="116"/>
      <c r="Z20" s="116"/>
      <c r="AA20" s="116"/>
      <c r="AB20" s="116">
        <v>10855</v>
      </c>
      <c r="AC20" s="116"/>
      <c r="AD20" s="116"/>
      <c r="AE20" s="116"/>
      <c r="AF20" s="164">
        <f t="shared" si="1"/>
        <v>10855</v>
      </c>
      <c r="AG20" s="36">
        <f>AF20-D21</f>
        <v>494</v>
      </c>
    </row>
    <row r="21" spans="1:249" x14ac:dyDescent="0.2">
      <c r="A21" s="119"/>
      <c r="B21" s="84">
        <v>658</v>
      </c>
      <c r="C21" s="163" t="s">
        <v>18</v>
      </c>
      <c r="D21" s="152">
        <v>10361</v>
      </c>
      <c r="E21" s="152">
        <v>10361</v>
      </c>
      <c r="F21" s="152">
        <f t="shared" si="4"/>
        <v>0</v>
      </c>
      <c r="G21" s="150">
        <f t="shared" si="2"/>
        <v>0</v>
      </c>
      <c r="H21" s="140"/>
      <c r="I21" s="141"/>
      <c r="J21" s="141"/>
      <c r="K21" s="141"/>
      <c r="L21" s="141"/>
      <c r="M21" s="141"/>
      <c r="N21" s="141"/>
      <c r="O21" s="141"/>
      <c r="P21" s="141"/>
      <c r="Q21" s="141">
        <f t="shared" si="0"/>
        <v>0</v>
      </c>
      <c r="R21" s="119"/>
      <c r="S21" s="143"/>
      <c r="T21" s="172"/>
      <c r="U21" s="172"/>
      <c r="V21" s="172"/>
      <c r="W21" s="172"/>
      <c r="X21" s="172"/>
      <c r="Y21" s="172"/>
      <c r="Z21" s="172">
        <v>705000</v>
      </c>
      <c r="AA21" s="172"/>
      <c r="AB21" s="172"/>
      <c r="AC21" s="172"/>
      <c r="AD21" s="172"/>
      <c r="AE21" s="172"/>
      <c r="AF21" s="164">
        <f t="shared" si="1"/>
        <v>705000</v>
      </c>
      <c r="AG21" s="36">
        <f>AF21-D22</f>
        <v>226721</v>
      </c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</row>
    <row r="22" spans="1:249" x14ac:dyDescent="0.2">
      <c r="B22" s="118">
        <v>656</v>
      </c>
      <c r="C22" s="184" t="s">
        <v>38</v>
      </c>
      <c r="D22" s="168">
        <v>478279</v>
      </c>
      <c r="E22" s="168"/>
      <c r="F22" s="152">
        <f t="shared" si="4"/>
        <v>-478279</v>
      </c>
      <c r="G22" s="150">
        <f t="shared" si="2"/>
        <v>-1</v>
      </c>
      <c r="H22" s="76"/>
      <c r="I22" s="89"/>
      <c r="J22" s="89"/>
      <c r="K22" s="89"/>
      <c r="L22" s="89"/>
      <c r="M22" s="89"/>
      <c r="N22" s="89"/>
      <c r="O22" s="89"/>
      <c r="P22" s="89"/>
      <c r="Q22" s="89"/>
      <c r="R22" s="1"/>
      <c r="S22" s="96"/>
      <c r="T22" s="164"/>
      <c r="U22" s="164">
        <v>4478</v>
      </c>
      <c r="V22" s="164">
        <v>343</v>
      </c>
      <c r="W22" s="164">
        <v>8700</v>
      </c>
      <c r="X22" s="164"/>
      <c r="Y22" s="164"/>
      <c r="Z22" s="164"/>
      <c r="AA22" s="164"/>
      <c r="AB22" s="164">
        <v>1600</v>
      </c>
      <c r="AC22" s="164">
        <v>3700</v>
      </c>
      <c r="AD22" s="164"/>
      <c r="AE22" s="164"/>
      <c r="AF22" s="164">
        <f t="shared" si="1"/>
        <v>18821</v>
      </c>
      <c r="AG22" s="36" t="e">
        <f>AF22-#REF!</f>
        <v>#REF!</v>
      </c>
      <c r="AM22" s="1">
        <f>1245-585</f>
        <v>660</v>
      </c>
    </row>
    <row r="23" spans="1:249" x14ac:dyDescent="0.2">
      <c r="B23" s="84">
        <v>662</v>
      </c>
      <c r="C23" s="163" t="s">
        <v>68</v>
      </c>
      <c r="D23" s="152">
        <v>1000</v>
      </c>
      <c r="E23" s="152"/>
      <c r="F23" s="152">
        <f t="shared" si="4"/>
        <v>-1000</v>
      </c>
      <c r="G23" s="150">
        <f t="shared" si="2"/>
        <v>-1</v>
      </c>
      <c r="H23" s="86"/>
      <c r="I23" s="89"/>
      <c r="J23" s="89"/>
      <c r="K23" s="89"/>
      <c r="L23" s="89"/>
      <c r="M23" s="89"/>
      <c r="N23" s="89"/>
      <c r="O23" s="89"/>
      <c r="P23" s="89"/>
      <c r="Q23" s="89">
        <f t="shared" si="0"/>
        <v>0</v>
      </c>
      <c r="R23" s="1"/>
      <c r="S23" s="96"/>
      <c r="T23" s="164">
        <f>481130*0.75</f>
        <v>360847.5</v>
      </c>
      <c r="U23" s="164">
        <f>20000*0.75</f>
        <v>15000</v>
      </c>
      <c r="V23" s="164">
        <f>(51928+59032)*0.75</f>
        <v>83220</v>
      </c>
      <c r="W23" s="164">
        <f>(25000+38000+41000+41000+26000+71000+2300+3738+9000+15000)*0.75</f>
        <v>204028.5</v>
      </c>
      <c r="Y23" s="164">
        <f>35000*0.75</f>
        <v>26250</v>
      </c>
      <c r="Z23" s="164"/>
      <c r="AA23" s="164"/>
      <c r="AB23" s="164">
        <f>10000*0.75</f>
        <v>7500</v>
      </c>
      <c r="AC23" s="164">
        <f>(157058+195888)*0.75</f>
        <v>264709.5</v>
      </c>
      <c r="AD23" s="164">
        <f>(129599+105730+20402+15070)*0.75</f>
        <v>203100.75</v>
      </c>
      <c r="AE23" s="164"/>
      <c r="AF23" s="164">
        <f t="shared" si="1"/>
        <v>1164656.25</v>
      </c>
      <c r="AG23" s="36">
        <f>AF23-D24</f>
        <v>504656.25</v>
      </c>
    </row>
    <row r="24" spans="1:249" x14ac:dyDescent="0.2">
      <c r="B24" s="84">
        <v>666</v>
      </c>
      <c r="C24" s="183" t="s">
        <v>98</v>
      </c>
      <c r="D24" s="185">
        <v>660000</v>
      </c>
      <c r="E24" s="185">
        <v>725000</v>
      </c>
      <c r="F24" s="152">
        <f t="shared" si="4"/>
        <v>65000</v>
      </c>
      <c r="G24" s="150">
        <f t="shared" si="2"/>
        <v>9.8484848484848481E-2</v>
      </c>
      <c r="H24" s="76"/>
      <c r="I24" s="87"/>
      <c r="R24" s="1"/>
      <c r="S24" s="96"/>
      <c r="T24" s="1"/>
      <c r="AF24" s="36">
        <f>SUM(AF6:AF23)</f>
        <v>3262459.25</v>
      </c>
    </row>
    <row r="25" spans="1:249" x14ac:dyDescent="0.2">
      <c r="B25" s="205">
        <v>674</v>
      </c>
      <c r="C25" s="183" t="s">
        <v>100</v>
      </c>
      <c r="D25" s="185">
        <v>13500</v>
      </c>
      <c r="E25" s="185">
        <v>13500</v>
      </c>
      <c r="F25" s="152"/>
      <c r="G25" s="206"/>
      <c r="H25" s="76"/>
      <c r="I25" s="87"/>
      <c r="R25" s="1"/>
      <c r="S25" s="96"/>
      <c r="T25" s="1"/>
      <c r="AF25" s="36"/>
    </row>
    <row r="26" spans="1:249" x14ac:dyDescent="0.2">
      <c r="B26" s="205">
        <v>677</v>
      </c>
      <c r="C26" s="183" t="s">
        <v>99</v>
      </c>
      <c r="D26" s="185">
        <v>585000</v>
      </c>
      <c r="E26" s="185">
        <v>625000</v>
      </c>
      <c r="F26" s="152">
        <f>E26-D26</f>
        <v>40000</v>
      </c>
      <c r="G26" s="206">
        <f>F26/D26</f>
        <v>6.8376068376068383E-2</v>
      </c>
      <c r="H26" s="86">
        <f>SUM(D14:D26)</f>
        <v>2533005</v>
      </c>
      <c r="I26" s="87"/>
      <c r="R26" s="1"/>
      <c r="S26" s="96"/>
      <c r="T26" s="1"/>
      <c r="AF26" s="36"/>
    </row>
    <row r="27" spans="1:249" x14ac:dyDescent="0.2">
      <c r="A27" s="92"/>
      <c r="B27" s="83"/>
      <c r="D27" s="144"/>
      <c r="G27" s="147"/>
      <c r="H27" s="91"/>
      <c r="I27" s="109"/>
      <c r="J27" s="109"/>
      <c r="K27" s="109"/>
      <c r="L27" s="109"/>
      <c r="M27" s="109"/>
      <c r="N27" s="109"/>
      <c r="O27" s="109"/>
      <c r="P27" s="109"/>
      <c r="Q27" s="89">
        <f t="shared" si="0"/>
        <v>0</v>
      </c>
      <c r="R27" s="92"/>
      <c r="S27" s="127"/>
      <c r="T27" s="92"/>
      <c r="U27" s="115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</row>
    <row r="28" spans="1:249" x14ac:dyDescent="0.2">
      <c r="B28" s="186"/>
      <c r="C28" s="187"/>
      <c r="D28" s="153"/>
      <c r="E28" s="153"/>
      <c r="F28" s="153"/>
      <c r="G28" s="154"/>
      <c r="H28" s="86"/>
      <c r="I28" s="89">
        <f t="shared" ref="I28:Q28" si="5">SUM(I6:I27)</f>
        <v>3201</v>
      </c>
      <c r="J28" s="89">
        <f t="shared" si="5"/>
        <v>0</v>
      </c>
      <c r="K28" s="89">
        <f t="shared" si="5"/>
        <v>2853</v>
      </c>
      <c r="L28" s="89">
        <f t="shared" si="5"/>
        <v>0</v>
      </c>
      <c r="M28" s="89">
        <f t="shared" si="5"/>
        <v>0</v>
      </c>
      <c r="N28" s="89">
        <f t="shared" si="5"/>
        <v>0</v>
      </c>
      <c r="O28" s="89">
        <f t="shared" si="5"/>
        <v>0</v>
      </c>
      <c r="P28" s="89">
        <f t="shared" si="5"/>
        <v>0</v>
      </c>
      <c r="Q28" s="89">
        <f t="shared" si="5"/>
        <v>6054</v>
      </c>
      <c r="R28" s="1"/>
      <c r="S28" s="96"/>
      <c r="T28" s="36">
        <f>SUM(T6:T27)</f>
        <v>895447.5</v>
      </c>
      <c r="U28" s="36">
        <f t="shared" ref="U28:AE28" si="6">SUM(U6:U27)</f>
        <v>265091</v>
      </c>
      <c r="V28" s="36">
        <f t="shared" si="6"/>
        <v>91412</v>
      </c>
      <c r="W28" s="36">
        <f t="shared" si="6"/>
        <v>314135.5</v>
      </c>
      <c r="X28" s="36">
        <f t="shared" si="6"/>
        <v>0</v>
      </c>
      <c r="Y28" s="36">
        <f t="shared" si="6"/>
        <v>26250</v>
      </c>
      <c r="Z28" s="36">
        <f t="shared" si="6"/>
        <v>705000</v>
      </c>
      <c r="AA28" s="36">
        <f t="shared" si="6"/>
        <v>0</v>
      </c>
      <c r="AB28" s="36">
        <f t="shared" si="6"/>
        <v>335918</v>
      </c>
      <c r="AC28" s="36">
        <f t="shared" si="6"/>
        <v>400883.5</v>
      </c>
      <c r="AD28" s="36">
        <f t="shared" si="6"/>
        <v>221153.75</v>
      </c>
      <c r="AE28" s="36">
        <f t="shared" si="6"/>
        <v>7168</v>
      </c>
      <c r="AF28" s="36">
        <f>SUM(T28:AE28)</f>
        <v>3262459.25</v>
      </c>
    </row>
    <row r="29" spans="1:249" ht="16.5" thickBot="1" x14ac:dyDescent="0.3">
      <c r="B29" s="121"/>
      <c r="C29" s="188" t="s">
        <v>24</v>
      </c>
      <c r="D29" s="158">
        <f>SUM(D6:D28)</f>
        <v>3193917</v>
      </c>
      <c r="E29" s="158">
        <f>SUM(E6:E28)</f>
        <v>2429319</v>
      </c>
      <c r="F29" s="158">
        <f>SUM(F6:F28)</f>
        <v>-764598</v>
      </c>
      <c r="G29" s="159">
        <f>F29/D29</f>
        <v>-0.23939194412378281</v>
      </c>
      <c r="H29" s="161"/>
      <c r="I29" s="1"/>
      <c r="J29" s="88">
        <v>1</v>
      </c>
      <c r="K29" s="88">
        <v>2</v>
      </c>
      <c r="L29" s="88">
        <v>3</v>
      </c>
      <c r="M29" s="88">
        <v>4</v>
      </c>
      <c r="N29" s="88">
        <v>5</v>
      </c>
      <c r="O29" s="88">
        <v>6</v>
      </c>
      <c r="P29" s="88">
        <v>7</v>
      </c>
      <c r="Q29" s="88">
        <v>8</v>
      </c>
      <c r="R29" s="88"/>
      <c r="S29" s="36">
        <f>SUM(I28:P28)</f>
        <v>6054</v>
      </c>
      <c r="V29" s="25"/>
    </row>
    <row r="30" spans="1:249" ht="15.75" x14ac:dyDescent="0.25">
      <c r="C30" s="160"/>
      <c r="D30" s="34"/>
      <c r="E30" s="161"/>
      <c r="F30" s="161"/>
      <c r="G30" s="161"/>
      <c r="V30" s="116"/>
    </row>
    <row r="31" spans="1:249" x14ac:dyDescent="0.2">
      <c r="V31" s="116"/>
    </row>
    <row r="32" spans="1:249" x14ac:dyDescent="0.2">
      <c r="V32" s="116"/>
    </row>
    <row r="33" spans="22:22" x14ac:dyDescent="0.2">
      <c r="V33" s="116"/>
    </row>
    <row r="34" spans="22:22" x14ac:dyDescent="0.2">
      <c r="V34" s="116"/>
    </row>
    <row r="35" spans="22:22" x14ac:dyDescent="0.2">
      <c r="V35" s="116"/>
    </row>
    <row r="36" spans="22:22" x14ac:dyDescent="0.2">
      <c r="V36" s="116"/>
    </row>
    <row r="37" spans="22:22" x14ac:dyDescent="0.2">
      <c r="V37" s="116"/>
    </row>
    <row r="38" spans="22:22" x14ac:dyDescent="0.2">
      <c r="V38" s="116"/>
    </row>
    <row r="39" spans="22:22" x14ac:dyDescent="0.2">
      <c r="V39" s="116"/>
    </row>
    <row r="40" spans="22:22" x14ac:dyDescent="0.2">
      <c r="V40" s="116"/>
    </row>
    <row r="41" spans="22:22" x14ac:dyDescent="0.2">
      <c r="V41" s="116"/>
    </row>
    <row r="42" spans="22:22" x14ac:dyDescent="0.2">
      <c r="V42" s="116"/>
    </row>
    <row r="43" spans="22:22" x14ac:dyDescent="0.2">
      <c r="V43" s="116"/>
    </row>
    <row r="44" spans="22:22" x14ac:dyDescent="0.2">
      <c r="V44" s="116"/>
    </row>
    <row r="45" spans="22:22" x14ac:dyDescent="0.2">
      <c r="V45" s="116"/>
    </row>
    <row r="46" spans="22:22" x14ac:dyDescent="0.2">
      <c r="V46" s="116"/>
    </row>
    <row r="47" spans="22:22" x14ac:dyDescent="0.2">
      <c r="V47" s="116"/>
    </row>
    <row r="48" spans="22:22" x14ac:dyDescent="0.2">
      <c r="V48" s="116"/>
    </row>
    <row r="49" spans="22:22" x14ac:dyDescent="0.2">
      <c r="V49" s="116"/>
    </row>
    <row r="50" spans="22:22" x14ac:dyDescent="0.2">
      <c r="V50" s="116"/>
    </row>
    <row r="51" spans="22:22" x14ac:dyDescent="0.2">
      <c r="V51" s="116"/>
    </row>
    <row r="52" spans="22:22" x14ac:dyDescent="0.2">
      <c r="V52" s="116"/>
    </row>
    <row r="53" spans="22:22" x14ac:dyDescent="0.2">
      <c r="V53" s="116"/>
    </row>
    <row r="54" spans="22:22" x14ac:dyDescent="0.2">
      <c r="V54" s="116"/>
    </row>
    <row r="55" spans="22:22" x14ac:dyDescent="0.2">
      <c r="V55" s="116"/>
    </row>
    <row r="56" spans="22:22" x14ac:dyDescent="0.2">
      <c r="V56" s="116"/>
    </row>
    <row r="57" spans="22:22" x14ac:dyDescent="0.2">
      <c r="V57" s="116"/>
    </row>
    <row r="58" spans="22:22" x14ac:dyDescent="0.2">
      <c r="V58" s="116"/>
    </row>
    <row r="59" spans="22:22" x14ac:dyDescent="0.2">
      <c r="V59" s="116"/>
    </row>
    <row r="60" spans="22:22" x14ac:dyDescent="0.2">
      <c r="V60" s="116"/>
    </row>
    <row r="61" spans="22:22" x14ac:dyDescent="0.2">
      <c r="V61" s="116"/>
    </row>
    <row r="62" spans="22:22" x14ac:dyDescent="0.2">
      <c r="V62" s="116"/>
    </row>
    <row r="63" spans="22:22" x14ac:dyDescent="0.2">
      <c r="V63" s="116"/>
    </row>
    <row r="64" spans="22:22" x14ac:dyDescent="0.2">
      <c r="V64" s="116"/>
    </row>
    <row r="65" spans="22:22" x14ac:dyDescent="0.2">
      <c r="V65" s="116"/>
    </row>
    <row r="66" spans="22:22" x14ac:dyDescent="0.2">
      <c r="V66" s="116"/>
    </row>
    <row r="67" spans="22:22" x14ac:dyDescent="0.2">
      <c r="V67" s="116"/>
    </row>
    <row r="68" spans="22:22" x14ac:dyDescent="0.2">
      <c r="V68" s="116"/>
    </row>
    <row r="69" spans="22:22" x14ac:dyDescent="0.2">
      <c r="V69" s="116"/>
    </row>
    <row r="70" spans="22:22" x14ac:dyDescent="0.2">
      <c r="V70" s="116"/>
    </row>
    <row r="71" spans="22:22" x14ac:dyDescent="0.2">
      <c r="V71" s="116"/>
    </row>
    <row r="72" spans="22:22" x14ac:dyDescent="0.2">
      <c r="V72" s="116"/>
    </row>
    <row r="73" spans="22:22" x14ac:dyDescent="0.2">
      <c r="V73" s="116"/>
    </row>
  </sheetData>
  <mergeCells count="2">
    <mergeCell ref="B1:H1"/>
    <mergeCell ref="B2:H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sqref="A1:C1"/>
    </sheetView>
  </sheetViews>
  <sheetFormatPr defaultColWidth="9.140625" defaultRowHeight="14.25" x14ac:dyDescent="0.2"/>
  <cols>
    <col min="1" max="1" width="95.5703125" style="400" customWidth="1"/>
    <col min="2" max="2" width="11.7109375" style="400" customWidth="1"/>
    <col min="3" max="9" width="9.140625" style="400"/>
    <col min="10" max="10" width="10.7109375" style="400" customWidth="1"/>
    <col min="11" max="11" width="6.7109375" style="400" customWidth="1"/>
    <col min="12" max="16384" width="9.140625" style="400"/>
  </cols>
  <sheetData>
    <row r="1" spans="1:10" s="398" customFormat="1" ht="20.25" x14ac:dyDescent="0.3">
      <c r="A1" s="531" t="s">
        <v>182</v>
      </c>
      <c r="B1" s="532"/>
      <c r="C1" s="532"/>
      <c r="D1" s="396"/>
      <c r="E1" s="396"/>
      <c r="F1" s="396"/>
      <c r="G1" s="396"/>
      <c r="H1" s="396"/>
      <c r="I1" s="396"/>
      <c r="J1" s="397"/>
    </row>
    <row r="2" spans="1:10" ht="15.75" x14ac:dyDescent="0.25">
      <c r="A2" s="399"/>
    </row>
    <row r="3" spans="1:10" ht="15.75" x14ac:dyDescent="0.25">
      <c r="A3" s="399"/>
    </row>
    <row r="4" spans="1:10" ht="30" customHeight="1" x14ac:dyDescent="0.2">
      <c r="A4" s="529" t="s">
        <v>183</v>
      </c>
      <c r="B4" s="533"/>
      <c r="C4" s="533"/>
    </row>
    <row r="6" spans="1:10" x14ac:dyDescent="0.2">
      <c r="A6" s="401"/>
    </row>
    <row r="7" spans="1:10" ht="30" customHeight="1" x14ac:dyDescent="0.2">
      <c r="A7" s="529" t="s">
        <v>184</v>
      </c>
      <c r="B7" s="530"/>
      <c r="C7" s="530"/>
    </row>
    <row r="9" spans="1:10" x14ac:dyDescent="0.2">
      <c r="A9" s="401"/>
    </row>
    <row r="10" spans="1:10" ht="45" customHeight="1" x14ac:dyDescent="0.2">
      <c r="A10" s="529" t="s">
        <v>185</v>
      </c>
      <c r="B10" s="530"/>
      <c r="C10" s="530"/>
    </row>
    <row r="11" spans="1:10" x14ac:dyDescent="0.2">
      <c r="A11" s="400" t="s">
        <v>120</v>
      </c>
    </row>
    <row r="13" spans="1:10" ht="30" customHeight="1" x14ac:dyDescent="0.2">
      <c r="A13" s="529" t="s">
        <v>186</v>
      </c>
      <c r="B13" s="530"/>
      <c r="C13" s="530"/>
    </row>
    <row r="15" spans="1:10" x14ac:dyDescent="0.2">
      <c r="A15" s="398"/>
    </row>
    <row r="16" spans="1:10" ht="30" customHeight="1" x14ac:dyDescent="0.2">
      <c r="A16" s="529" t="s">
        <v>187</v>
      </c>
      <c r="B16" s="530"/>
      <c r="C16" s="530"/>
    </row>
    <row r="18" spans="1:3" x14ac:dyDescent="0.2">
      <c r="A18" s="398"/>
    </row>
    <row r="19" spans="1:3" ht="30" customHeight="1" x14ac:dyDescent="0.2">
      <c r="A19" s="529" t="s">
        <v>188</v>
      </c>
      <c r="B19" s="530"/>
      <c r="C19" s="530"/>
    </row>
    <row r="21" spans="1:3" x14ac:dyDescent="0.2">
      <c r="A21" s="398"/>
    </row>
    <row r="22" spans="1:3" ht="30" customHeight="1" x14ac:dyDescent="0.2">
      <c r="A22" s="529" t="s">
        <v>189</v>
      </c>
      <c r="B22" s="530"/>
      <c r="C22" s="530"/>
    </row>
    <row r="24" spans="1:3" x14ac:dyDescent="0.2">
      <c r="A24" s="398"/>
    </row>
    <row r="25" spans="1:3" ht="15" x14ac:dyDescent="0.25">
      <c r="A25" s="402" t="s">
        <v>190</v>
      </c>
    </row>
    <row r="26" spans="1:3" ht="15" x14ac:dyDescent="0.25">
      <c r="A26" s="402"/>
    </row>
    <row r="27" spans="1:3" x14ac:dyDescent="0.2">
      <c r="A27" s="398"/>
    </row>
    <row r="28" spans="1:3" ht="15" x14ac:dyDescent="0.25">
      <c r="A28" s="402" t="s">
        <v>191</v>
      </c>
    </row>
    <row r="30" spans="1:3" x14ac:dyDescent="0.2">
      <c r="A30" s="403"/>
    </row>
  </sheetData>
  <mergeCells count="8">
    <mergeCell ref="A19:C19"/>
    <mergeCell ref="A22:C22"/>
    <mergeCell ref="A1:C1"/>
    <mergeCell ref="A4:C4"/>
    <mergeCell ref="A7:C7"/>
    <mergeCell ref="A10:C10"/>
    <mergeCell ref="A13:C13"/>
    <mergeCell ref="A16:C16"/>
  </mergeCells>
  <pageMargins left="0.7" right="0.7" top="0.7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6"/>
  <sheetViews>
    <sheetView topLeftCell="B4" workbookViewId="0">
      <pane ySplit="1485" topLeftCell="A7" activePane="bottomLeft"/>
      <selection activeCell="B6" sqref="B6:I6"/>
      <selection pane="bottomLeft" activeCell="L15" sqref="L15"/>
    </sheetView>
  </sheetViews>
  <sheetFormatPr defaultColWidth="9.140625" defaultRowHeight="14.25" x14ac:dyDescent="0.2"/>
  <cols>
    <col min="1" max="1" width="4.7109375" style="1" hidden="1" customWidth="1"/>
    <col min="2" max="2" width="8.140625" style="1" customWidth="1"/>
    <col min="3" max="3" width="34.28515625" style="1" customWidth="1"/>
    <col min="4" max="5" width="14" style="1" customWidth="1"/>
    <col min="6" max="7" width="13.7109375" style="1" customWidth="1"/>
    <col min="8" max="8" width="12.7109375" style="1" customWidth="1"/>
    <col min="9" max="9" width="14.7109375" style="1" customWidth="1"/>
    <col min="10" max="10" width="4.7109375" style="76" customWidth="1"/>
    <col min="11" max="11" width="15.7109375" style="76" customWidth="1"/>
    <col min="12" max="12" width="22.7109375" style="1" customWidth="1"/>
    <col min="13" max="13" width="20.7109375" style="1" customWidth="1"/>
    <col min="14" max="15" width="9.140625" style="1" customWidth="1"/>
    <col min="16" max="16384" width="9.140625" style="1"/>
  </cols>
  <sheetData>
    <row r="1" spans="2:12" ht="23.25" x14ac:dyDescent="0.35">
      <c r="B1" s="548" t="s">
        <v>25</v>
      </c>
      <c r="C1" s="548"/>
      <c r="D1" s="548"/>
      <c r="E1" s="548"/>
      <c r="F1" s="548"/>
      <c r="G1" s="548"/>
      <c r="H1" s="548"/>
      <c r="I1" s="548"/>
      <c r="J1" s="96"/>
    </row>
    <row r="2" spans="2:12" ht="18" x14ac:dyDescent="0.25">
      <c r="C2" s="364"/>
      <c r="D2" s="360"/>
      <c r="E2" s="384"/>
      <c r="F2" s="376"/>
      <c r="G2" s="376"/>
      <c r="H2" s="376"/>
      <c r="I2" s="376"/>
      <c r="J2" s="376"/>
    </row>
    <row r="3" spans="2:12" ht="18" x14ac:dyDescent="0.25">
      <c r="B3" s="549" t="s">
        <v>206</v>
      </c>
      <c r="C3" s="549"/>
      <c r="D3" s="549"/>
      <c r="E3" s="549"/>
      <c r="F3" s="549"/>
      <c r="G3" s="549"/>
      <c r="H3" s="549"/>
      <c r="I3" s="549"/>
      <c r="J3" s="96"/>
    </row>
    <row r="4" spans="2:12" s="375" customFormat="1" ht="15" x14ac:dyDescent="0.25">
      <c r="B4" s="550"/>
      <c r="C4" s="550"/>
      <c r="D4" s="550"/>
      <c r="E4" s="550"/>
      <c r="F4" s="550"/>
      <c r="G4" s="550"/>
      <c r="H4" s="550"/>
      <c r="I4" s="550"/>
      <c r="J4" s="374"/>
      <c r="K4" s="426"/>
    </row>
    <row r="5" spans="2:12" ht="15" thickBot="1" x14ac:dyDescent="0.25"/>
    <row r="6" spans="2:12" ht="32.1" customHeight="1" thickBot="1" x14ac:dyDescent="0.3">
      <c r="B6" s="428" t="s">
        <v>0</v>
      </c>
      <c r="C6" s="428" t="s">
        <v>1</v>
      </c>
      <c r="D6" s="429" t="s">
        <v>2</v>
      </c>
      <c r="E6" s="430" t="s">
        <v>3</v>
      </c>
      <c r="F6" s="431" t="s">
        <v>4</v>
      </c>
      <c r="G6" s="430" t="s">
        <v>5</v>
      </c>
      <c r="H6" s="431" t="s">
        <v>6</v>
      </c>
      <c r="I6" s="432" t="s">
        <v>175</v>
      </c>
      <c r="J6" s="273"/>
    </row>
    <row r="7" spans="2:12" ht="14.25" customHeight="1" thickBot="1" x14ac:dyDescent="0.25">
      <c r="B7" s="17"/>
      <c r="I7" s="75"/>
      <c r="K7" s="551" t="s">
        <v>216</v>
      </c>
    </row>
    <row r="8" spans="2:12" ht="23.1" customHeight="1" x14ac:dyDescent="0.25">
      <c r="B8" s="292" t="s">
        <v>31</v>
      </c>
      <c r="C8" s="304" t="s">
        <v>19</v>
      </c>
      <c r="D8" s="294">
        <v>7470695</v>
      </c>
      <c r="E8" s="318">
        <v>5190115.7399999984</v>
      </c>
      <c r="F8" s="318">
        <v>2508049.649999999</v>
      </c>
      <c r="G8" s="318">
        <f>D8-E8-F8</f>
        <v>-227470.38999999734</v>
      </c>
      <c r="H8" s="318">
        <f>-22475-70000-15000-8083-10000-2599-14000</f>
        <v>-142157</v>
      </c>
      <c r="I8" s="321">
        <f>G8-H8</f>
        <v>-85313.389999997336</v>
      </c>
      <c r="J8" s="274"/>
      <c r="K8" s="552"/>
      <c r="L8" s="387"/>
    </row>
    <row r="9" spans="2:12" ht="23.1" customHeight="1" thickBot="1" x14ac:dyDescent="0.3">
      <c r="B9" s="293"/>
      <c r="C9" s="536" t="s">
        <v>218</v>
      </c>
      <c r="D9" s="537"/>
      <c r="E9" s="537"/>
      <c r="F9" s="537"/>
      <c r="G9" s="537"/>
      <c r="H9" s="537"/>
      <c r="I9" s="538"/>
      <c r="J9" s="274"/>
      <c r="K9" s="527" t="s">
        <v>220</v>
      </c>
    </row>
    <row r="10" spans="2:12" ht="23.1" customHeight="1" x14ac:dyDescent="0.25">
      <c r="B10" s="292">
        <v>200</v>
      </c>
      <c r="C10" s="304" t="s">
        <v>8</v>
      </c>
      <c r="D10" s="295">
        <v>2039255</v>
      </c>
      <c r="E10" s="295">
        <v>1490185.56</v>
      </c>
      <c r="F10" s="295">
        <v>258783.25</v>
      </c>
      <c r="G10" s="295">
        <f>D10-E10-F10</f>
        <v>290286.18999999994</v>
      </c>
      <c r="H10" s="295">
        <f>125000-14000+24396+63670</f>
        <v>199066</v>
      </c>
      <c r="I10" s="322">
        <f>G10-H10</f>
        <v>91220.189999999944</v>
      </c>
      <c r="J10" s="275"/>
      <c r="K10" s="551" t="s">
        <v>211</v>
      </c>
    </row>
    <row r="11" spans="2:12" ht="23.1" customHeight="1" thickBot="1" x14ac:dyDescent="0.3">
      <c r="B11" s="296"/>
      <c r="C11" s="536"/>
      <c r="D11" s="537"/>
      <c r="E11" s="537"/>
      <c r="F11" s="537"/>
      <c r="G11" s="537"/>
      <c r="H11" s="537"/>
      <c r="I11" s="538"/>
      <c r="J11" s="275"/>
      <c r="K11" s="553"/>
    </row>
    <row r="12" spans="2:12" s="12" customFormat="1" ht="23.1" customHeight="1" x14ac:dyDescent="0.25">
      <c r="B12" s="22"/>
      <c r="C12" s="8" t="s">
        <v>9</v>
      </c>
      <c r="D12" s="9">
        <f>D10+D8</f>
        <v>9509950</v>
      </c>
      <c r="E12" s="11">
        <f>SUM(E8:E10)</f>
        <v>6680301.2999999989</v>
      </c>
      <c r="F12" s="11">
        <f>SUM(F8:F10)</f>
        <v>2766832.899999999</v>
      </c>
      <c r="G12" s="11">
        <f>D12-E12-F12</f>
        <v>62815.800000002142</v>
      </c>
      <c r="H12" s="11">
        <f>H10+H8</f>
        <v>56909</v>
      </c>
      <c r="I12" s="23">
        <f>I8+I10</f>
        <v>5906.8000000026077</v>
      </c>
      <c r="J12" s="79"/>
      <c r="K12" s="76"/>
    </row>
    <row r="13" spans="2:12" ht="15.75" customHeight="1" thickBot="1" x14ac:dyDescent="0.3">
      <c r="B13" s="433"/>
      <c r="C13" s="434"/>
      <c r="D13" s="435"/>
      <c r="E13" s="436"/>
      <c r="F13" s="436"/>
      <c r="G13" s="436"/>
      <c r="H13" s="436"/>
      <c r="I13" s="437"/>
      <c r="J13" s="274"/>
    </row>
    <row r="14" spans="2:12" ht="23.1" customHeight="1" x14ac:dyDescent="0.25">
      <c r="B14" s="292">
        <v>300</v>
      </c>
      <c r="C14" s="304" t="s">
        <v>20</v>
      </c>
      <c r="D14" s="297">
        <v>108766</v>
      </c>
      <c r="E14" s="318">
        <v>121147.57</v>
      </c>
      <c r="F14" s="318">
        <v>26416.75</v>
      </c>
      <c r="G14" s="318">
        <f>D14-E14-F14</f>
        <v>-38798.320000000007</v>
      </c>
      <c r="H14" s="318">
        <f>4266+4500</f>
        <v>8766</v>
      </c>
      <c r="I14" s="321">
        <f>G14-H14</f>
        <v>-47564.320000000007</v>
      </c>
      <c r="J14" s="79"/>
      <c r="K14" s="76" t="s">
        <v>199</v>
      </c>
    </row>
    <row r="15" spans="2:12" ht="23.1" customHeight="1" thickBot="1" x14ac:dyDescent="0.3">
      <c r="B15" s="292"/>
      <c r="C15" s="536"/>
      <c r="D15" s="537"/>
      <c r="E15" s="537"/>
      <c r="F15" s="537"/>
      <c r="G15" s="537"/>
      <c r="H15" s="537"/>
      <c r="I15" s="538"/>
      <c r="J15" s="79"/>
    </row>
    <row r="16" spans="2:12" ht="23.1" customHeight="1" x14ac:dyDescent="0.25">
      <c r="B16" s="292">
        <v>400</v>
      </c>
      <c r="C16" s="412" t="s">
        <v>10</v>
      </c>
      <c r="D16" s="298">
        <v>112000</v>
      </c>
      <c r="E16" s="525">
        <v>72446.680000000008</v>
      </c>
      <c r="F16" s="295">
        <v>14618.009999999998</v>
      </c>
      <c r="G16" s="295">
        <f>D16-E16-F16</f>
        <v>24935.309999999994</v>
      </c>
      <c r="H16" s="295">
        <f>15000-46539-69000</f>
        <v>-100539</v>
      </c>
      <c r="I16" s="322">
        <f>G16-H16</f>
        <v>125474.31</v>
      </c>
      <c r="J16" s="79"/>
      <c r="K16" s="227" t="s">
        <v>214</v>
      </c>
    </row>
    <row r="17" spans="2:13" ht="23.1" customHeight="1" thickBot="1" x14ac:dyDescent="0.3">
      <c r="B17" s="292"/>
      <c r="C17" s="536"/>
      <c r="D17" s="537"/>
      <c r="E17" s="537"/>
      <c r="F17" s="537"/>
      <c r="G17" s="537"/>
      <c r="H17" s="537"/>
      <c r="I17" s="538"/>
      <c r="J17" s="79"/>
      <c r="K17" s="227"/>
    </row>
    <row r="18" spans="2:13" ht="23.1" customHeight="1" x14ac:dyDescent="0.25">
      <c r="B18" s="292" t="s">
        <v>28</v>
      </c>
      <c r="C18" s="412" t="s">
        <v>11</v>
      </c>
      <c r="D18" s="295">
        <v>1444023</v>
      </c>
      <c r="E18" s="295">
        <v>1000474.5800000001</v>
      </c>
      <c r="F18" s="295">
        <v>541115.03</v>
      </c>
      <c r="G18" s="295">
        <f t="shared" ref="G18:G30" si="0">D18-E18-F18</f>
        <v>-97566.610000000102</v>
      </c>
      <c r="H18" s="295">
        <v>0</v>
      </c>
      <c r="I18" s="322">
        <f t="shared" ref="I18:I30" si="1">G18-H18</f>
        <v>-97566.610000000102</v>
      </c>
      <c r="J18" s="79"/>
      <c r="K18" s="227" t="s">
        <v>212</v>
      </c>
    </row>
    <row r="19" spans="2:13" ht="23.1" customHeight="1" thickBot="1" x14ac:dyDescent="0.3">
      <c r="B19" s="292"/>
      <c r="C19" s="536" t="s">
        <v>177</v>
      </c>
      <c r="D19" s="537"/>
      <c r="E19" s="537"/>
      <c r="F19" s="537"/>
      <c r="G19" s="537"/>
      <c r="H19" s="537"/>
      <c r="I19" s="538"/>
      <c r="J19" s="79"/>
      <c r="K19" s="227"/>
    </row>
    <row r="20" spans="2:13" ht="23.1" customHeight="1" x14ac:dyDescent="0.25">
      <c r="B20" s="292">
        <v>560</v>
      </c>
      <c r="C20" s="412" t="s">
        <v>26</v>
      </c>
      <c r="D20" s="298">
        <v>1649573</v>
      </c>
      <c r="E20" s="295">
        <v>1323404.25</v>
      </c>
      <c r="F20" s="295">
        <v>646329.96</v>
      </c>
      <c r="G20" s="295">
        <f t="shared" si="0"/>
        <v>-320161.20999999996</v>
      </c>
      <c r="H20" s="295">
        <f>64111-206578-150000</f>
        <v>-292467</v>
      </c>
      <c r="I20" s="322">
        <f t="shared" si="1"/>
        <v>-27694.209999999963</v>
      </c>
      <c r="J20" s="79"/>
      <c r="K20" s="227" t="s">
        <v>219</v>
      </c>
    </row>
    <row r="21" spans="2:13" ht="23.1" customHeight="1" thickBot="1" x14ac:dyDescent="0.3">
      <c r="B21" s="292"/>
      <c r="C21" s="536" t="s">
        <v>193</v>
      </c>
      <c r="D21" s="537"/>
      <c r="E21" s="537"/>
      <c r="F21" s="537"/>
      <c r="G21" s="537"/>
      <c r="H21" s="537"/>
      <c r="I21" s="538"/>
      <c r="J21" s="79"/>
      <c r="K21" s="427"/>
      <c r="L21" s="263"/>
    </row>
    <row r="22" spans="2:13" ht="23.1" customHeight="1" x14ac:dyDescent="0.25">
      <c r="B22" s="292">
        <v>563</v>
      </c>
      <c r="C22" s="412" t="s">
        <v>27</v>
      </c>
      <c r="D22" s="298">
        <v>8101718</v>
      </c>
      <c r="E22" s="295">
        <v>6071420.04</v>
      </c>
      <c r="F22" s="295">
        <v>2025429.47</v>
      </c>
      <c r="G22" s="295">
        <f t="shared" si="0"/>
        <v>4868.4899999999907</v>
      </c>
      <c r="H22" s="295">
        <v>0</v>
      </c>
      <c r="I22" s="322">
        <f t="shared" si="1"/>
        <v>4868.4899999999907</v>
      </c>
      <c r="J22" s="79"/>
      <c r="K22" s="76" t="s">
        <v>200</v>
      </c>
      <c r="L22" s="264"/>
      <c r="M22" s="263"/>
    </row>
    <row r="23" spans="2:13" ht="23.1" customHeight="1" thickBot="1" x14ac:dyDescent="0.3">
      <c r="B23" s="292"/>
      <c r="C23" s="536"/>
      <c r="D23" s="537"/>
      <c r="E23" s="537"/>
      <c r="F23" s="537"/>
      <c r="G23" s="537"/>
      <c r="H23" s="537"/>
      <c r="I23" s="538"/>
      <c r="J23" s="79"/>
      <c r="L23" s="264"/>
      <c r="M23" s="263"/>
    </row>
    <row r="24" spans="2:13" ht="23.1" customHeight="1" x14ac:dyDescent="0.25">
      <c r="B24" s="292" t="s">
        <v>12</v>
      </c>
      <c r="C24" s="412" t="s">
        <v>29</v>
      </c>
      <c r="D24" s="298">
        <v>321880</v>
      </c>
      <c r="E24" s="295">
        <v>196375.66</v>
      </c>
      <c r="F24" s="295">
        <v>92022.7</v>
      </c>
      <c r="G24" s="295">
        <f t="shared" si="0"/>
        <v>33481.64</v>
      </c>
      <c r="H24" s="295">
        <f>3891</f>
        <v>3891</v>
      </c>
      <c r="I24" s="322">
        <f t="shared" si="1"/>
        <v>29590.639999999999</v>
      </c>
      <c r="J24" s="79"/>
      <c r="K24" s="289" t="s">
        <v>213</v>
      </c>
      <c r="M24" s="263"/>
    </row>
    <row r="25" spans="2:13" ht="23.1" customHeight="1" thickBot="1" x14ac:dyDescent="0.3">
      <c r="B25" s="292"/>
      <c r="C25" s="539"/>
      <c r="D25" s="540"/>
      <c r="E25" s="540"/>
      <c r="F25" s="540"/>
      <c r="G25" s="540"/>
      <c r="H25" s="540"/>
      <c r="I25" s="541"/>
      <c r="J25" s="79"/>
      <c r="K25" s="289"/>
      <c r="M25" s="263"/>
    </row>
    <row r="26" spans="2:13" ht="23.1" customHeight="1" x14ac:dyDescent="0.25">
      <c r="B26" s="292">
        <v>600</v>
      </c>
      <c r="C26" s="304" t="s">
        <v>13</v>
      </c>
      <c r="D26" s="295">
        <v>124000</v>
      </c>
      <c r="E26" s="295">
        <v>96928.559999999983</v>
      </c>
      <c r="F26" s="295">
        <v>1107.98</v>
      </c>
      <c r="G26" s="295">
        <f t="shared" si="0"/>
        <v>25963.460000000017</v>
      </c>
      <c r="H26" s="295">
        <f>1500+200+3000-11594</f>
        <v>-6894</v>
      </c>
      <c r="I26" s="322">
        <f t="shared" si="1"/>
        <v>32857.460000000021</v>
      </c>
      <c r="J26" s="260"/>
      <c r="K26" s="227" t="s">
        <v>215</v>
      </c>
      <c r="M26" s="263"/>
    </row>
    <row r="27" spans="2:13" ht="23.1" customHeight="1" thickBot="1" x14ac:dyDescent="0.3">
      <c r="B27" s="292"/>
      <c r="C27" s="539"/>
      <c r="D27" s="540"/>
      <c r="E27" s="540"/>
      <c r="F27" s="540"/>
      <c r="G27" s="540"/>
      <c r="H27" s="540"/>
      <c r="I27" s="541"/>
      <c r="J27" s="260"/>
      <c r="M27" s="263"/>
    </row>
    <row r="28" spans="2:13" ht="23.1" customHeight="1" x14ac:dyDescent="0.25">
      <c r="B28" s="292">
        <v>700</v>
      </c>
      <c r="C28" s="412" t="s">
        <v>40</v>
      </c>
      <c r="D28" s="298">
        <v>113000</v>
      </c>
      <c r="E28" s="295">
        <v>128513.37</v>
      </c>
      <c r="F28" s="295">
        <v>1674</v>
      </c>
      <c r="G28" s="295">
        <f t="shared" si="0"/>
        <v>-17187.369999999995</v>
      </c>
      <c r="H28" s="295">
        <v>6000</v>
      </c>
      <c r="I28" s="322">
        <f t="shared" si="1"/>
        <v>-23187.369999999995</v>
      </c>
      <c r="J28" s="79"/>
      <c r="K28" s="76" t="s">
        <v>201</v>
      </c>
    </row>
    <row r="29" spans="2:13" ht="23.1" customHeight="1" thickBot="1" x14ac:dyDescent="0.3">
      <c r="B29" s="292"/>
      <c r="C29" s="536"/>
      <c r="D29" s="537"/>
      <c r="E29" s="537"/>
      <c r="F29" s="537"/>
      <c r="G29" s="537"/>
      <c r="H29" s="537"/>
      <c r="I29" s="538"/>
      <c r="J29" s="79"/>
    </row>
    <row r="30" spans="2:13" ht="23.1" customHeight="1" thickBot="1" x14ac:dyDescent="0.3">
      <c r="B30" s="20">
        <v>800</v>
      </c>
      <c r="C30" s="413" t="s">
        <v>148</v>
      </c>
      <c r="D30" s="299">
        <v>20000</v>
      </c>
      <c r="E30" s="417">
        <v>17423.919999999998</v>
      </c>
      <c r="F30" s="417">
        <v>0</v>
      </c>
      <c r="G30" s="417">
        <f t="shared" si="0"/>
        <v>2576.0800000000017</v>
      </c>
      <c r="H30" s="417">
        <v>0</v>
      </c>
      <c r="I30" s="323">
        <f t="shared" si="1"/>
        <v>2576.0800000000017</v>
      </c>
      <c r="J30" s="275"/>
    </row>
    <row r="31" spans="2:13" s="12" customFormat="1" ht="23.1" customHeight="1" thickBot="1" x14ac:dyDescent="0.3">
      <c r="B31" s="328"/>
      <c r="C31" s="329" t="s">
        <v>15</v>
      </c>
      <c r="D31" s="320">
        <f>SUM(D14:D30)</f>
        <v>11994960</v>
      </c>
      <c r="E31" s="319">
        <f>SUM(E14:E30)</f>
        <v>9028134.6300000008</v>
      </c>
      <c r="F31" s="319">
        <f>SUM(F14:F30)</f>
        <v>3348713.9</v>
      </c>
      <c r="G31" s="319">
        <f>D31-E31-F31</f>
        <v>-381888.53000000073</v>
      </c>
      <c r="H31" s="319">
        <f>SUM(H14:H30)</f>
        <v>-381243</v>
      </c>
      <c r="I31" s="324">
        <f>SUM(I14:I30)</f>
        <v>-645.53000000005704</v>
      </c>
      <c r="J31" s="80"/>
      <c r="K31" s="76"/>
    </row>
    <row r="32" spans="2:13" ht="15" x14ac:dyDescent="0.25">
      <c r="B32" s="438"/>
      <c r="C32" s="439"/>
      <c r="D32" s="439"/>
      <c r="E32" s="440"/>
      <c r="F32" s="440"/>
      <c r="G32" s="441"/>
      <c r="H32" s="440"/>
      <c r="I32" s="442"/>
      <c r="J32" s="275"/>
    </row>
    <row r="33" spans="1:11" s="12" customFormat="1" ht="18" customHeight="1" thickBot="1" x14ac:dyDescent="0.3">
      <c r="B33" s="130"/>
      <c r="C33" s="74" t="s">
        <v>129</v>
      </c>
      <c r="D33" s="28">
        <f>D31+D12</f>
        <v>21504910</v>
      </c>
      <c r="E33" s="28">
        <f>E31+E12</f>
        <v>15708435.93</v>
      </c>
      <c r="F33" s="28">
        <f>F31+F12</f>
        <v>6115546.7999999989</v>
      </c>
      <c r="G33" s="262">
        <f>D33-E33-F33</f>
        <v>-319072.72999999858</v>
      </c>
      <c r="H33" s="262">
        <f>H31+H12</f>
        <v>-324334</v>
      </c>
      <c r="I33" s="291">
        <f>I12+I31</f>
        <v>5261.2700000025507</v>
      </c>
      <c r="J33" s="76"/>
      <c r="K33" s="76"/>
    </row>
    <row r="34" spans="1:11" s="12" customFormat="1" ht="15.75" customHeight="1" thickTop="1" x14ac:dyDescent="0.25">
      <c r="B34" s="27"/>
      <c r="C34" s="27"/>
      <c r="D34" s="34"/>
      <c r="E34" s="34"/>
      <c r="F34" s="34"/>
      <c r="G34" s="35"/>
      <c r="H34" s="35"/>
      <c r="I34" s="76"/>
      <c r="K34" s="76"/>
    </row>
    <row r="35" spans="1:11" s="12" customFormat="1" ht="15.75" customHeight="1" x14ac:dyDescent="0.25">
      <c r="B35" s="27"/>
      <c r="C35" s="27"/>
      <c r="D35" s="34"/>
      <c r="E35" s="34"/>
      <c r="F35" s="34"/>
      <c r="G35" s="35"/>
      <c r="H35" s="35"/>
      <c r="I35" s="76"/>
      <c r="K35" s="76"/>
    </row>
    <row r="36" spans="1:11" s="12" customFormat="1" ht="15.75" customHeight="1" x14ac:dyDescent="0.25">
      <c r="B36" s="27"/>
      <c r="C36" s="27"/>
      <c r="D36" s="34"/>
      <c r="E36" s="34"/>
      <c r="F36" s="35"/>
      <c r="G36" s="35"/>
      <c r="H36" s="76"/>
      <c r="J36" s="90"/>
      <c r="K36" s="76"/>
    </row>
    <row r="37" spans="1:11" s="12" customFormat="1" ht="15.75" customHeight="1" thickBot="1" x14ac:dyDescent="0.3">
      <c r="B37" s="27"/>
      <c r="C37" s="27"/>
      <c r="D37" s="34"/>
      <c r="E37" s="34"/>
      <c r="F37" s="34"/>
      <c r="G37" s="35"/>
      <c r="H37" s="35"/>
      <c r="I37" s="268"/>
      <c r="J37" s="76"/>
      <c r="K37" s="76"/>
    </row>
    <row r="38" spans="1:11" s="12" customFormat="1" ht="18" customHeight="1" thickBot="1" x14ac:dyDescent="0.3">
      <c r="B38" s="277"/>
      <c r="C38" s="545" t="s">
        <v>139</v>
      </c>
      <c r="D38" s="546"/>
      <c r="E38" s="546"/>
      <c r="F38" s="546"/>
      <c r="G38" s="546"/>
      <c r="H38" s="546"/>
      <c r="I38" s="547"/>
      <c r="J38" s="76"/>
      <c r="K38" s="76"/>
    </row>
    <row r="39" spans="1:11" s="12" customFormat="1" ht="23.1" customHeight="1" x14ac:dyDescent="0.25">
      <c r="B39" s="292">
        <v>400</v>
      </c>
      <c r="C39" s="304" t="s">
        <v>10</v>
      </c>
      <c r="D39" s="294">
        <f>35451+396884</f>
        <v>432335</v>
      </c>
      <c r="E39" s="394">
        <v>0</v>
      </c>
      <c r="F39" s="394">
        <v>358952</v>
      </c>
      <c r="G39" s="295">
        <f>D39-F39</f>
        <v>73383</v>
      </c>
      <c r="H39" s="318">
        <v>0</v>
      </c>
      <c r="I39" s="322">
        <f t="shared" ref="I39" si="2">G39-H39</f>
        <v>73383</v>
      </c>
      <c r="J39" s="76"/>
      <c r="K39" s="76"/>
    </row>
    <row r="40" spans="1:11" s="12" customFormat="1" ht="23.1" customHeight="1" x14ac:dyDescent="0.25">
      <c r="B40" s="292"/>
      <c r="C40" s="365"/>
      <c r="D40" s="371"/>
      <c r="E40" s="371"/>
      <c r="F40" s="371"/>
      <c r="G40" s="151"/>
      <c r="H40" s="366"/>
      <c r="I40" s="367"/>
      <c r="J40" s="76"/>
      <c r="K40" s="76"/>
    </row>
    <row r="41" spans="1:11" s="12" customFormat="1" ht="23.1" customHeight="1" x14ac:dyDescent="0.25">
      <c r="B41" s="292">
        <v>500</v>
      </c>
      <c r="C41" s="372" t="s">
        <v>164</v>
      </c>
      <c r="D41" s="368">
        <v>0</v>
      </c>
      <c r="E41" s="368">
        <v>0</v>
      </c>
      <c r="F41" s="368">
        <v>0</v>
      </c>
      <c r="G41" s="13">
        <v>0</v>
      </c>
      <c r="H41" s="13">
        <v>206578</v>
      </c>
      <c r="I41" s="42">
        <f t="shared" ref="I41" si="3">G41-H41</f>
        <v>-206578</v>
      </c>
      <c r="J41" s="76"/>
      <c r="K41" s="76" t="s">
        <v>202</v>
      </c>
    </row>
    <row r="42" spans="1:11" s="12" customFormat="1" ht="23.1" customHeight="1" thickBot="1" x14ac:dyDescent="0.3">
      <c r="B42" s="292"/>
      <c r="C42" s="542"/>
      <c r="D42" s="543"/>
      <c r="E42" s="543"/>
      <c r="F42" s="543"/>
      <c r="G42" s="543"/>
      <c r="H42" s="543"/>
      <c r="I42" s="544"/>
      <c r="J42" s="76"/>
      <c r="K42" s="76"/>
    </row>
    <row r="43" spans="1:11" s="116" customFormat="1" ht="23.1" customHeight="1" thickBot="1" x14ac:dyDescent="0.3">
      <c r="B43" s="301">
        <v>800</v>
      </c>
      <c r="C43" s="327" t="s">
        <v>140</v>
      </c>
      <c r="D43" s="326">
        <v>133195</v>
      </c>
      <c r="E43" s="326">
        <v>0</v>
      </c>
      <c r="F43" s="326">
        <v>0</v>
      </c>
      <c r="G43" s="325">
        <f>D43-F43</f>
        <v>133195</v>
      </c>
      <c r="H43" s="369">
        <v>0</v>
      </c>
      <c r="I43" s="370">
        <f t="shared" ref="I43" si="4">G43-H43</f>
        <v>133195</v>
      </c>
      <c r="J43" s="164"/>
      <c r="K43" s="87"/>
    </row>
    <row r="44" spans="1:11" s="12" customFormat="1" ht="8.1" customHeight="1" x14ac:dyDescent="0.25">
      <c r="A44" s="1"/>
      <c r="B44" s="443"/>
      <c r="C44" s="439"/>
      <c r="D44" s="444"/>
      <c r="E44" s="444"/>
      <c r="F44" s="444"/>
      <c r="G44" s="445"/>
      <c r="H44" s="445"/>
      <c r="I44" s="446"/>
      <c r="J44" s="76"/>
      <c r="K44" s="76"/>
    </row>
    <row r="45" spans="1:11" s="12" customFormat="1" ht="23.1" customHeight="1" thickBot="1" x14ac:dyDescent="0.3">
      <c r="A45" s="1"/>
      <c r="B45" s="404"/>
      <c r="C45" s="405" t="s">
        <v>138</v>
      </c>
      <c r="D45" s="406">
        <f t="shared" ref="D45:I45" si="5">SUM(D39:D44)</f>
        <v>565530</v>
      </c>
      <c r="E45" s="406">
        <f t="shared" si="5"/>
        <v>0</v>
      </c>
      <c r="F45" s="406">
        <f t="shared" si="5"/>
        <v>358952</v>
      </c>
      <c r="G45" s="406">
        <f t="shared" si="5"/>
        <v>206578</v>
      </c>
      <c r="H45" s="406">
        <f t="shared" si="5"/>
        <v>206578</v>
      </c>
      <c r="I45" s="407">
        <f t="shared" si="5"/>
        <v>0</v>
      </c>
      <c r="J45" s="90"/>
      <c r="K45" s="76"/>
    </row>
    <row r="46" spans="1:11" s="12" customFormat="1" ht="23.1" customHeight="1" thickTop="1" x14ac:dyDescent="0.25">
      <c r="A46" s="1"/>
      <c r="B46" s="300"/>
      <c r="C46" s="27"/>
      <c r="D46" s="34"/>
      <c r="E46" s="34"/>
      <c r="F46" s="34"/>
      <c r="G46" s="34"/>
      <c r="H46" s="34"/>
      <c r="I46" s="268"/>
      <c r="J46" s="90"/>
      <c r="K46" s="76"/>
    </row>
    <row r="47" spans="1:11" s="12" customFormat="1" ht="23.1" customHeight="1" x14ac:dyDescent="0.25">
      <c r="A47" s="1"/>
      <c r="B47" s="300"/>
      <c r="C47" s="27"/>
      <c r="D47" s="34"/>
      <c r="E47" s="34"/>
      <c r="F47" s="34"/>
      <c r="G47" s="34"/>
      <c r="H47" s="34"/>
      <c r="I47" s="268"/>
      <c r="J47" s="90"/>
      <c r="K47" s="76"/>
    </row>
    <row r="48" spans="1:11" s="249" customFormat="1" ht="15" x14ac:dyDescent="0.25">
      <c r="B48" s="1"/>
      <c r="C48" s="534" t="s">
        <v>106</v>
      </c>
      <c r="D48" s="535"/>
      <c r="E48" s="535"/>
      <c r="F48" s="535"/>
      <c r="G48" s="535"/>
      <c r="H48" s="535"/>
      <c r="I48" s="535"/>
      <c r="J48" s="76"/>
      <c r="K48" s="76"/>
    </row>
    <row r="49" spans="3:11" ht="23.1" customHeight="1" x14ac:dyDescent="0.25">
      <c r="C49" s="302" t="s">
        <v>19</v>
      </c>
      <c r="D49" s="303">
        <v>65000</v>
      </c>
      <c r="E49" s="303">
        <v>43628</v>
      </c>
      <c r="F49" s="303">
        <v>23272</v>
      </c>
      <c r="G49" s="303">
        <f>D49-E49-F49</f>
        <v>-1900</v>
      </c>
      <c r="H49" s="303">
        <v>-1900</v>
      </c>
      <c r="I49" s="303">
        <f>G49-H49</f>
        <v>0</v>
      </c>
      <c r="K49" s="76" t="s">
        <v>203</v>
      </c>
    </row>
    <row r="51" spans="3:11" x14ac:dyDescent="0.2">
      <c r="D51" s="60"/>
    </row>
    <row r="52" spans="3:11" x14ac:dyDescent="0.2">
      <c r="H52" s="60"/>
    </row>
    <row r="55" spans="3:11" x14ac:dyDescent="0.2">
      <c r="H55" s="60"/>
    </row>
    <row r="56" spans="3:11" x14ac:dyDescent="0.2">
      <c r="H56" s="60"/>
    </row>
  </sheetData>
  <mergeCells count="18">
    <mergeCell ref="C17:I17"/>
    <mergeCell ref="C19:I19"/>
    <mergeCell ref="C21:I21"/>
    <mergeCell ref="B4:I4"/>
    <mergeCell ref="K7:K8"/>
    <mergeCell ref="K10:K11"/>
    <mergeCell ref="B1:I1"/>
    <mergeCell ref="B3:I3"/>
    <mergeCell ref="C9:I9"/>
    <mergeCell ref="C11:I11"/>
    <mergeCell ref="C15:I15"/>
    <mergeCell ref="C48:I48"/>
    <mergeCell ref="C23:I23"/>
    <mergeCell ref="C25:I25"/>
    <mergeCell ref="C27:I27"/>
    <mergeCell ref="C29:I29"/>
    <mergeCell ref="C42:I42"/>
    <mergeCell ref="C38:I38"/>
  </mergeCells>
  <phoneticPr fontId="13" type="noConversion"/>
  <printOptions horizontalCentered="1" verticalCentered="1"/>
  <pageMargins left="0" right="0" top="0.2" bottom="0.2" header="0.5" footer="0.5"/>
  <pageSetup scale="90" orientation="landscape" copies="4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B7" sqref="B7:G15"/>
    </sheetView>
  </sheetViews>
  <sheetFormatPr defaultRowHeight="14.25" x14ac:dyDescent="0.2"/>
  <cols>
    <col min="1" max="1" width="6" customWidth="1"/>
    <col min="2" max="2" width="34.5703125" bestFit="1" customWidth="1"/>
    <col min="3" max="9" width="14" customWidth="1"/>
    <col min="10" max="12" width="6.5703125" style="76" hidden="1" customWidth="1"/>
    <col min="13" max="13" width="6.7109375" style="76" hidden="1" customWidth="1"/>
    <col min="14" max="14" width="6.140625" style="76" hidden="1" customWidth="1"/>
    <col min="15" max="15" width="4.42578125" style="76" hidden="1" customWidth="1"/>
    <col min="16" max="16" width="5.28515625" style="76" hidden="1" customWidth="1"/>
    <col min="17" max="19" width="6.7109375" style="76" hidden="1" customWidth="1"/>
    <col min="20" max="20" width="6" style="1" hidden="1" customWidth="1"/>
    <col min="21" max="21" width="0" hidden="1" customWidth="1"/>
  </cols>
  <sheetData>
    <row r="1" spans="1:21" s="1" customFormat="1" ht="18" x14ac:dyDescent="0.25">
      <c r="A1" s="554" t="s">
        <v>25</v>
      </c>
      <c r="B1" s="555"/>
      <c r="C1" s="555"/>
      <c r="D1" s="555"/>
      <c r="E1" s="555"/>
      <c r="F1" s="555"/>
      <c r="G1" s="555"/>
      <c r="H1" s="555"/>
      <c r="I1" s="555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21" s="1" customFormat="1" ht="15" x14ac:dyDescent="0.25">
      <c r="A2" s="556" t="s">
        <v>94</v>
      </c>
      <c r="B2" s="556"/>
      <c r="C2" s="556"/>
      <c r="D2" s="556"/>
      <c r="E2" s="556"/>
      <c r="F2" s="556"/>
      <c r="G2" s="556"/>
      <c r="H2" s="556"/>
      <c r="I2" s="55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21" s="1" customFormat="1" x14ac:dyDescent="0.2">
      <c r="A3" s="2"/>
      <c r="B3" s="2"/>
      <c r="C3" s="2"/>
      <c r="D3" s="2"/>
      <c r="E3" s="2"/>
      <c r="F3" s="2"/>
      <c r="G3" s="2"/>
      <c r="H3" s="2"/>
      <c r="I3" s="2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21" s="1" customFormat="1" ht="15" thickBot="1" x14ac:dyDescent="0.25"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21" s="1" customFormat="1" ht="51.95" customHeight="1" thickBot="1" x14ac:dyDescent="0.3">
      <c r="A5" s="132" t="s">
        <v>0</v>
      </c>
      <c r="B5" s="133" t="s">
        <v>1</v>
      </c>
      <c r="C5" s="134" t="s">
        <v>2</v>
      </c>
      <c r="D5" s="135" t="s">
        <v>39</v>
      </c>
      <c r="E5" s="135" t="s">
        <v>3</v>
      </c>
      <c r="F5" s="136" t="s">
        <v>4</v>
      </c>
      <c r="G5" s="135" t="s">
        <v>5</v>
      </c>
      <c r="H5" s="136" t="s">
        <v>6</v>
      </c>
      <c r="I5" s="137" t="s">
        <v>7</v>
      </c>
      <c r="J5" s="76" t="s">
        <v>45</v>
      </c>
      <c r="K5" s="76"/>
      <c r="L5" s="76"/>
      <c r="M5" s="76"/>
      <c r="N5" s="76"/>
      <c r="O5" s="76"/>
      <c r="P5" s="76"/>
      <c r="Q5" s="76"/>
      <c r="R5" s="76"/>
      <c r="S5" s="76"/>
      <c r="T5" s="94" t="s">
        <v>0</v>
      </c>
    </row>
    <row r="6" spans="1:21" x14ac:dyDescent="0.2">
      <c r="A6" s="99"/>
      <c r="I6" s="100"/>
      <c r="J6" s="192" t="s">
        <v>46</v>
      </c>
      <c r="K6" s="101" t="s">
        <v>47</v>
      </c>
      <c r="L6" s="101" t="s">
        <v>48</v>
      </c>
      <c r="M6" s="101" t="s">
        <v>49</v>
      </c>
      <c r="N6" s="101" t="s">
        <v>50</v>
      </c>
      <c r="O6" s="101">
        <v>107</v>
      </c>
      <c r="P6" s="101">
        <v>108</v>
      </c>
      <c r="Q6" s="101">
        <v>109</v>
      </c>
      <c r="R6" s="101">
        <v>110</v>
      </c>
      <c r="S6" s="102"/>
      <c r="T6" s="17"/>
    </row>
    <row r="7" spans="1:21" s="1" customFormat="1" ht="18" customHeight="1" x14ac:dyDescent="0.25">
      <c r="A7" s="195">
        <v>101</v>
      </c>
      <c r="B7" s="214" t="s">
        <v>51</v>
      </c>
      <c r="C7" s="215">
        <v>2259598</v>
      </c>
      <c r="D7" s="215">
        <v>2255098</v>
      </c>
      <c r="E7" s="69">
        <v>25217</v>
      </c>
      <c r="F7" s="69">
        <v>2010755</v>
      </c>
      <c r="G7" s="215">
        <f>D7-E7-F7</f>
        <v>219126</v>
      </c>
      <c r="H7" s="203">
        <v>219126</v>
      </c>
      <c r="I7" s="202">
        <f>G7-H7</f>
        <v>0</v>
      </c>
      <c r="J7" s="106">
        <f>2000+6000</f>
        <v>8000</v>
      </c>
      <c r="K7" s="102">
        <f>2000+6000</f>
        <v>8000</v>
      </c>
      <c r="L7" s="102">
        <f>2000+6000</f>
        <v>8000</v>
      </c>
      <c r="M7" s="102">
        <v>5193</v>
      </c>
      <c r="N7" s="102">
        <f>159000+9000+3000-149000</f>
        <v>22000</v>
      </c>
      <c r="O7" s="102">
        <v>6000</v>
      </c>
      <c r="P7" s="102"/>
      <c r="Q7" s="102"/>
      <c r="R7" s="102"/>
      <c r="S7" s="102">
        <f>SUM(J7:R7)</f>
        <v>57193</v>
      </c>
      <c r="T7" s="71" t="s">
        <v>31</v>
      </c>
      <c r="U7" s="1">
        <v>57192</v>
      </c>
    </row>
    <row r="8" spans="1:21" s="1" customFormat="1" ht="18" customHeight="1" thickBot="1" x14ac:dyDescent="0.3">
      <c r="A8" s="195">
        <v>103</v>
      </c>
      <c r="B8" s="214" t="s">
        <v>52</v>
      </c>
      <c r="C8" s="207">
        <v>1350</v>
      </c>
      <c r="D8" s="207">
        <v>1350</v>
      </c>
      <c r="E8" s="207">
        <v>651</v>
      </c>
      <c r="F8" s="207">
        <v>1240</v>
      </c>
      <c r="G8" s="207">
        <f>D8-E8-F8</f>
        <v>-541</v>
      </c>
      <c r="H8" s="13">
        <v>-541</v>
      </c>
      <c r="I8" s="42">
        <f>G8-H8</f>
        <v>0</v>
      </c>
      <c r="J8" s="123"/>
      <c r="K8" s="103"/>
      <c r="L8" s="103"/>
      <c r="M8" s="102"/>
      <c r="N8" s="102"/>
      <c r="O8" s="102"/>
      <c r="P8" s="102"/>
      <c r="Q8" s="102">
        <v>-125411</v>
      </c>
      <c r="R8" s="102"/>
      <c r="S8" s="102">
        <f t="shared" ref="S8:S16" si="0">SUM(J8:R8)</f>
        <v>-125411</v>
      </c>
      <c r="T8" s="20">
        <v>200</v>
      </c>
      <c r="U8" s="1">
        <v>-125411</v>
      </c>
    </row>
    <row r="9" spans="1:21" s="1" customFormat="1" ht="18" customHeight="1" x14ac:dyDescent="0.25">
      <c r="A9" s="195">
        <v>104</v>
      </c>
      <c r="B9" s="214" t="s">
        <v>53</v>
      </c>
      <c r="C9" s="207">
        <v>2544728</v>
      </c>
      <c r="D9" s="207">
        <v>2554728</v>
      </c>
      <c r="E9" s="207">
        <v>50948</v>
      </c>
      <c r="F9" s="207">
        <v>2278752</v>
      </c>
      <c r="G9" s="207">
        <f t="shared" ref="G9:G16" si="1">D9-E9-F9</f>
        <v>225028</v>
      </c>
      <c r="H9" s="13">
        <v>225028</v>
      </c>
      <c r="I9" s="42">
        <f t="shared" ref="I9:I16" si="2">G9-H9</f>
        <v>0</v>
      </c>
      <c r="J9" s="124">
        <f>4000-2178</f>
        <v>1822</v>
      </c>
      <c r="K9" s="105">
        <f>5000-1000</f>
        <v>4000</v>
      </c>
      <c r="L9" s="105">
        <v>-1000</v>
      </c>
      <c r="M9" s="102">
        <f>-12000-18000-30000-85000-10000</f>
        <v>-155000</v>
      </c>
      <c r="N9" s="102">
        <v>-22000</v>
      </c>
      <c r="O9" s="102">
        <v>1000</v>
      </c>
      <c r="P9" s="102"/>
      <c r="Q9" s="102"/>
      <c r="R9" s="102"/>
      <c r="S9" s="102">
        <f t="shared" si="0"/>
        <v>-171178</v>
      </c>
      <c r="T9" s="18">
        <v>300</v>
      </c>
      <c r="U9" s="1">
        <v>-171178</v>
      </c>
    </row>
    <row r="10" spans="1:21" s="1" customFormat="1" ht="18" customHeight="1" x14ac:dyDescent="0.25">
      <c r="A10" s="195">
        <v>105</v>
      </c>
      <c r="B10" s="214" t="s">
        <v>54</v>
      </c>
      <c r="C10" s="207">
        <v>4072749</v>
      </c>
      <c r="D10" s="207">
        <v>4006710</v>
      </c>
      <c r="E10" s="207">
        <v>155370</v>
      </c>
      <c r="F10" s="207">
        <v>990817</v>
      </c>
      <c r="G10" s="207">
        <f t="shared" si="1"/>
        <v>2860523</v>
      </c>
      <c r="H10" s="13">
        <v>2860523</v>
      </c>
      <c r="I10" s="42">
        <f t="shared" si="2"/>
        <v>0</v>
      </c>
      <c r="J10" s="106">
        <v>8000</v>
      </c>
      <c r="K10" s="102">
        <f>5000+4000</f>
        <v>9000</v>
      </c>
      <c r="L10" s="102">
        <v>8000</v>
      </c>
      <c r="M10" s="102"/>
      <c r="N10" s="102"/>
      <c r="O10" s="102"/>
      <c r="P10" s="102">
        <v>3300</v>
      </c>
      <c r="Q10" s="102"/>
      <c r="R10" s="102"/>
      <c r="S10" s="102">
        <f t="shared" si="0"/>
        <v>28300</v>
      </c>
      <c r="T10" s="18">
        <v>400</v>
      </c>
      <c r="U10" s="1">
        <v>28300</v>
      </c>
    </row>
    <row r="11" spans="1:21" s="1" customFormat="1" ht="18" customHeight="1" x14ac:dyDescent="0.25">
      <c r="A11" s="195">
        <v>106</v>
      </c>
      <c r="B11" s="214" t="s">
        <v>55</v>
      </c>
      <c r="C11" s="207">
        <v>690760</v>
      </c>
      <c r="D11" s="207">
        <v>677260</v>
      </c>
      <c r="E11" s="207">
        <v>88409</v>
      </c>
      <c r="F11" s="207">
        <v>542049</v>
      </c>
      <c r="G11" s="207">
        <f t="shared" si="1"/>
        <v>46802</v>
      </c>
      <c r="H11" s="13">
        <v>46802</v>
      </c>
      <c r="I11" s="42">
        <f t="shared" si="2"/>
        <v>0</v>
      </c>
      <c r="J11" s="106"/>
      <c r="K11" s="102"/>
      <c r="L11" s="102"/>
      <c r="M11" s="102">
        <v>-225802</v>
      </c>
      <c r="N11" s="102"/>
      <c r="O11" s="102"/>
      <c r="P11" s="102"/>
      <c r="Q11" s="102"/>
      <c r="R11" s="102"/>
      <c r="S11" s="102">
        <f t="shared" si="0"/>
        <v>-225802</v>
      </c>
      <c r="T11" s="18" t="s">
        <v>28</v>
      </c>
      <c r="U11" s="1">
        <v>-225801</v>
      </c>
    </row>
    <row r="12" spans="1:21" s="1" customFormat="1" ht="18" customHeight="1" x14ac:dyDescent="0.25">
      <c r="A12" s="195">
        <v>107</v>
      </c>
      <c r="B12" s="214" t="s">
        <v>56</v>
      </c>
      <c r="C12" s="207">
        <v>7253185</v>
      </c>
      <c r="D12" s="207">
        <v>7307724</v>
      </c>
      <c r="E12" s="207">
        <v>1079167</v>
      </c>
      <c r="F12" s="207">
        <v>6096222</v>
      </c>
      <c r="G12" s="207">
        <f t="shared" si="1"/>
        <v>132335</v>
      </c>
      <c r="H12" s="13">
        <v>132335</v>
      </c>
      <c r="I12" s="42">
        <f t="shared" si="2"/>
        <v>0</v>
      </c>
      <c r="J12" s="106">
        <v>2000</v>
      </c>
      <c r="K12" s="102">
        <v>2000</v>
      </c>
      <c r="L12" s="102">
        <v>2000</v>
      </c>
      <c r="M12" s="102">
        <v>-50000</v>
      </c>
      <c r="N12" s="102">
        <v>2000</v>
      </c>
      <c r="O12" s="102"/>
      <c r="P12" s="102"/>
      <c r="Q12" s="102"/>
      <c r="R12" s="102">
        <v>4000</v>
      </c>
      <c r="S12" s="102">
        <f t="shared" si="0"/>
        <v>-38000</v>
      </c>
      <c r="T12" s="18" t="s">
        <v>12</v>
      </c>
      <c r="U12" s="1">
        <v>-38000</v>
      </c>
    </row>
    <row r="13" spans="1:21" s="1" customFormat="1" ht="18" customHeight="1" x14ac:dyDescent="0.25">
      <c r="A13" s="195">
        <v>108</v>
      </c>
      <c r="B13" s="214" t="s">
        <v>57</v>
      </c>
      <c r="C13" s="207">
        <v>141458</v>
      </c>
      <c r="D13" s="207">
        <v>139458</v>
      </c>
      <c r="E13" s="207">
        <v>7097</v>
      </c>
      <c r="F13" s="207">
        <v>90730</v>
      </c>
      <c r="G13" s="207">
        <f t="shared" si="1"/>
        <v>41631</v>
      </c>
      <c r="H13" s="13">
        <v>41631</v>
      </c>
      <c r="I13" s="42">
        <f t="shared" si="2"/>
        <v>0</v>
      </c>
      <c r="J13" s="106">
        <f>1000-1000-5000-7000</f>
        <v>-12000</v>
      </c>
      <c r="K13" s="106">
        <f>1000-7000-5000-6000</f>
        <v>-17000</v>
      </c>
      <c r="L13" s="106">
        <f>1000-10000-8000-6000</f>
        <v>-23000</v>
      </c>
      <c r="M13" s="106">
        <f>1000-12000</f>
        <v>-11000</v>
      </c>
      <c r="N13" s="106">
        <v>1000</v>
      </c>
      <c r="O13" s="102"/>
      <c r="P13" s="102"/>
      <c r="Q13" s="102"/>
      <c r="R13" s="102"/>
      <c r="S13" s="102">
        <f t="shared" si="0"/>
        <v>-62000</v>
      </c>
      <c r="T13" s="18">
        <v>600</v>
      </c>
      <c r="U13" s="1">
        <v>-62000</v>
      </c>
    </row>
    <row r="14" spans="1:21" s="1" customFormat="1" ht="18" customHeight="1" x14ac:dyDescent="0.25">
      <c r="A14" s="195">
        <v>109</v>
      </c>
      <c r="B14" s="214" t="s">
        <v>58</v>
      </c>
      <c r="C14" s="207">
        <v>2918684</v>
      </c>
      <c r="D14" s="207">
        <v>2940184</v>
      </c>
      <c r="E14" s="207">
        <f>799888+107</f>
        <v>799995</v>
      </c>
      <c r="F14" s="207">
        <f>1779127-335</f>
        <v>1778792</v>
      </c>
      <c r="G14" s="207">
        <f t="shared" si="1"/>
        <v>361397</v>
      </c>
      <c r="H14" s="13">
        <v>361397</v>
      </c>
      <c r="I14" s="42">
        <f t="shared" si="2"/>
        <v>0</v>
      </c>
      <c r="J14" s="106"/>
      <c r="K14" s="102"/>
      <c r="L14" s="102"/>
      <c r="M14" s="102"/>
      <c r="N14" s="102"/>
      <c r="O14" s="102"/>
      <c r="P14" s="102"/>
      <c r="Q14" s="102">
        <v>4000</v>
      </c>
      <c r="R14" s="102"/>
      <c r="S14" s="102">
        <f t="shared" si="0"/>
        <v>4000</v>
      </c>
      <c r="T14" s="18">
        <v>700</v>
      </c>
      <c r="U14" s="1">
        <v>4000</v>
      </c>
    </row>
    <row r="15" spans="1:21" s="1" customFormat="1" ht="18" customHeight="1" x14ac:dyDescent="0.25">
      <c r="A15" s="195">
        <v>110</v>
      </c>
      <c r="B15" s="214" t="s">
        <v>59</v>
      </c>
      <c r="C15" s="207">
        <v>24422</v>
      </c>
      <c r="D15" s="207">
        <v>24422</v>
      </c>
      <c r="E15" s="207">
        <v>2874</v>
      </c>
      <c r="F15" s="207">
        <v>22036</v>
      </c>
      <c r="G15" s="207">
        <f t="shared" si="1"/>
        <v>-488</v>
      </c>
      <c r="H15" s="13">
        <v>-488</v>
      </c>
      <c r="I15" s="42">
        <f t="shared" si="2"/>
        <v>0</v>
      </c>
      <c r="J15" s="106"/>
      <c r="K15" s="102"/>
      <c r="L15" s="102"/>
      <c r="M15" s="102"/>
      <c r="N15" s="102"/>
      <c r="O15" s="102"/>
      <c r="P15" s="102"/>
      <c r="Q15" s="102"/>
      <c r="R15" s="102"/>
      <c r="S15" s="102">
        <f t="shared" si="0"/>
        <v>0</v>
      </c>
      <c r="T15" s="70">
        <v>800</v>
      </c>
      <c r="U15" s="1">
        <v>0</v>
      </c>
    </row>
    <row r="16" spans="1:21" s="1" customFormat="1" ht="18" customHeight="1" x14ac:dyDescent="0.25">
      <c r="A16" s="195">
        <v>112</v>
      </c>
      <c r="B16" s="37" t="s">
        <v>60</v>
      </c>
      <c r="C16" s="13">
        <v>51215</v>
      </c>
      <c r="D16" s="13">
        <v>51215</v>
      </c>
      <c r="E16" s="13">
        <v>0</v>
      </c>
      <c r="F16" s="13">
        <v>49757</v>
      </c>
      <c r="G16" s="13">
        <f t="shared" si="1"/>
        <v>1458</v>
      </c>
      <c r="H16" s="13">
        <v>1458</v>
      </c>
      <c r="I16" s="42">
        <f t="shared" si="2"/>
        <v>0</v>
      </c>
      <c r="J16" s="106"/>
      <c r="K16" s="102"/>
      <c r="L16" s="102"/>
      <c r="M16" s="102"/>
      <c r="N16" s="102"/>
      <c r="O16" s="102"/>
      <c r="P16" s="102"/>
      <c r="Q16" s="102"/>
      <c r="R16" s="102"/>
      <c r="S16" s="102">
        <f t="shared" si="0"/>
        <v>0</v>
      </c>
      <c r="T16" s="95"/>
    </row>
    <row r="17" spans="1:21" s="1" customFormat="1" ht="18" customHeight="1" x14ac:dyDescent="0.25">
      <c r="A17" s="196"/>
      <c r="B17" s="189"/>
      <c r="C17" s="190"/>
      <c r="D17" s="190"/>
      <c r="E17" s="190"/>
      <c r="F17" s="190"/>
      <c r="G17" s="190"/>
      <c r="H17" s="190"/>
      <c r="I17" s="98"/>
      <c r="J17" s="106"/>
      <c r="K17" s="102"/>
      <c r="L17" s="102"/>
      <c r="M17" s="102"/>
      <c r="N17" s="102"/>
      <c r="O17" s="102"/>
      <c r="P17" s="102"/>
      <c r="Q17" s="102"/>
      <c r="R17" s="102"/>
      <c r="S17" s="102"/>
      <c r="T17" s="191"/>
    </row>
    <row r="18" spans="1:21" s="1" customFormat="1" ht="15.75" thickBot="1" x14ac:dyDescent="0.3">
      <c r="A18" s="197"/>
      <c r="B18" s="198"/>
      <c r="C18" s="198"/>
      <c r="D18" s="198"/>
      <c r="E18" s="199"/>
      <c r="F18" s="199"/>
      <c r="G18" s="200"/>
      <c r="H18" s="199"/>
      <c r="I18" s="201"/>
      <c r="J18" s="193">
        <f>SUM(J7:J16)</f>
        <v>7822</v>
      </c>
      <c r="K18" s="104">
        <f t="shared" ref="K18:R18" si="3">SUM(K7:K16)</f>
        <v>6000</v>
      </c>
      <c r="L18" s="104">
        <f t="shared" si="3"/>
        <v>-6000</v>
      </c>
      <c r="M18" s="104">
        <f t="shared" si="3"/>
        <v>-436609</v>
      </c>
      <c r="N18" s="104">
        <f t="shared" si="3"/>
        <v>3000</v>
      </c>
      <c r="O18" s="104">
        <f t="shared" si="3"/>
        <v>7000</v>
      </c>
      <c r="P18" s="104">
        <f t="shared" si="3"/>
        <v>3300</v>
      </c>
      <c r="Q18" s="104">
        <f t="shared" si="3"/>
        <v>-121411</v>
      </c>
      <c r="R18" s="104">
        <f t="shared" si="3"/>
        <v>4000</v>
      </c>
      <c r="S18" s="104">
        <f>SUM(S7:S16)</f>
        <v>-532898</v>
      </c>
      <c r="T18" s="26"/>
    </row>
    <row r="19" spans="1:21" s="12" customFormat="1" ht="18" customHeight="1" thickBot="1" x14ac:dyDescent="0.3">
      <c r="A19" s="26"/>
      <c r="B19" s="15" t="s">
        <v>105</v>
      </c>
      <c r="C19" s="16">
        <f>SUM(C7:C18)</f>
        <v>19958149</v>
      </c>
      <c r="D19" s="16">
        <f t="shared" ref="D19:I19" si="4">SUM(D7:D18)</f>
        <v>19958149</v>
      </c>
      <c r="E19" s="16">
        <f t="shared" si="4"/>
        <v>2209728</v>
      </c>
      <c r="F19" s="16">
        <f t="shared" si="4"/>
        <v>13861150</v>
      </c>
      <c r="G19" s="16">
        <f t="shared" si="4"/>
        <v>3887271</v>
      </c>
      <c r="H19" s="16">
        <f t="shared" si="4"/>
        <v>3887271</v>
      </c>
      <c r="I19" s="194">
        <f t="shared" si="4"/>
        <v>0</v>
      </c>
      <c r="J19" s="90"/>
      <c r="K19" s="90"/>
      <c r="L19" s="90"/>
      <c r="M19" s="90"/>
      <c r="N19" s="90"/>
      <c r="O19" s="90"/>
      <c r="P19" s="90"/>
      <c r="Q19" s="90"/>
      <c r="R19" s="90">
        <f>SUM(J18:R18)</f>
        <v>-532898</v>
      </c>
      <c r="S19" s="90"/>
      <c r="T19" s="27"/>
    </row>
    <row r="20" spans="1:21" ht="15" thickTop="1" x14ac:dyDescent="0.2">
      <c r="U20">
        <f>SUM(U7:U19)</f>
        <v>-532898</v>
      </c>
    </row>
    <row r="21" spans="1:21" x14ac:dyDescent="0.2">
      <c r="G21" s="107"/>
    </row>
    <row r="22" spans="1:21" hidden="1" x14ac:dyDescent="0.2">
      <c r="H22" s="122">
        <v>1583022</v>
      </c>
      <c r="I22">
        <v>21423</v>
      </c>
    </row>
    <row r="25" spans="1:21" x14ac:dyDescent="0.2">
      <c r="F25" s="107"/>
    </row>
  </sheetData>
  <mergeCells count="2">
    <mergeCell ref="A1:I1"/>
    <mergeCell ref="A2:I2"/>
  </mergeCells>
  <printOptions horizontalCentered="1" verticalCentered="1"/>
  <pageMargins left="0" right="0" top="0.75" bottom="0.75" header="0.3" footer="0.3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Y41"/>
  <sheetViews>
    <sheetView workbookViewId="0">
      <selection activeCell="U13" sqref="U13"/>
    </sheetView>
  </sheetViews>
  <sheetFormatPr defaultColWidth="9.140625" defaultRowHeight="14.25" x14ac:dyDescent="0.2"/>
  <cols>
    <col min="1" max="1" width="9.140625" style="1"/>
    <col min="2" max="2" width="5.5703125" style="1" customWidth="1"/>
    <col min="3" max="3" width="32.5703125" style="1" customWidth="1"/>
    <col min="4" max="6" width="14" style="1" customWidth="1"/>
    <col min="7" max="7" width="12.7109375" style="1" customWidth="1"/>
    <col min="8" max="8" width="13.5703125" style="1" customWidth="1"/>
    <col min="9" max="9" width="0.85546875" style="1" customWidth="1"/>
    <col min="10" max="10" width="10.7109375" style="1" customWidth="1"/>
    <col min="11" max="11" width="12.42578125" style="1" customWidth="1"/>
    <col min="12" max="12" width="12.28515625" style="1" customWidth="1"/>
    <col min="13" max="13" width="11" style="1" customWidth="1"/>
    <col min="14" max="14" width="0.85546875" style="1" customWidth="1"/>
    <col min="15" max="15" width="12.28515625" style="1" customWidth="1"/>
    <col min="16" max="16" width="0.85546875" style="1" customWidth="1"/>
    <col min="17" max="17" width="11.7109375" style="1" customWidth="1"/>
    <col min="18" max="18" width="13.5703125" style="1" hidden="1" customWidth="1"/>
    <col min="19" max="16384" width="9.140625" style="1"/>
  </cols>
  <sheetData>
    <row r="1" spans="2:25" ht="23.25" x14ac:dyDescent="0.35">
      <c r="B1" s="548" t="s">
        <v>25</v>
      </c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</row>
    <row r="2" spans="2:25" ht="23.25" x14ac:dyDescent="0.35">
      <c r="B2" s="252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68"/>
      <c r="N2" s="68"/>
      <c r="O2" s="68"/>
      <c r="P2" s="68"/>
      <c r="Q2" s="253"/>
      <c r="R2" s="68"/>
    </row>
    <row r="3" spans="2:25" ht="18.600000000000001" customHeight="1" x14ac:dyDescent="0.25">
      <c r="B3" s="549" t="s">
        <v>208</v>
      </c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57"/>
      <c r="T3" s="557"/>
      <c r="U3" s="557"/>
      <c r="V3" s="557"/>
      <c r="W3" s="557"/>
      <c r="X3" s="557"/>
      <c r="Y3" s="557"/>
    </row>
    <row r="4" spans="2:25" x14ac:dyDescent="0.2">
      <c r="B4" s="2"/>
      <c r="C4" s="2"/>
      <c r="E4" s="2"/>
      <c r="F4" s="2"/>
      <c r="G4" s="2"/>
      <c r="H4" s="2"/>
      <c r="I4" s="2"/>
      <c r="J4" s="2"/>
      <c r="K4" s="2"/>
      <c r="P4" s="2"/>
    </row>
    <row r="5" spans="2:25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Q5" s="2"/>
    </row>
    <row r="6" spans="2:25" ht="15" thickBot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Q6" s="2"/>
    </row>
    <row r="7" spans="2:25" ht="24.95" customHeight="1" thickBot="1" x14ac:dyDescent="0.3">
      <c r="D7" s="558" t="s">
        <v>23</v>
      </c>
      <c r="E7" s="559"/>
      <c r="F7" s="559"/>
      <c r="G7" s="559"/>
      <c r="H7" s="560"/>
      <c r="I7" s="485"/>
      <c r="J7" s="558" t="s">
        <v>64</v>
      </c>
      <c r="K7" s="559"/>
      <c r="L7" s="559"/>
      <c r="M7" s="559"/>
      <c r="N7" s="559"/>
      <c r="O7" s="560"/>
      <c r="P7" s="485"/>
      <c r="Q7" s="254" t="s">
        <v>24</v>
      </c>
      <c r="R7" s="245" t="s">
        <v>108</v>
      </c>
    </row>
    <row r="8" spans="2:25" ht="62.1" customHeight="1" thickBot="1" x14ac:dyDescent="0.3">
      <c r="B8" s="466" t="s">
        <v>35</v>
      </c>
      <c r="C8" s="428" t="s">
        <v>1</v>
      </c>
      <c r="D8" s="429" t="s">
        <v>109</v>
      </c>
      <c r="E8" s="430" t="s">
        <v>3</v>
      </c>
      <c r="F8" s="431" t="s">
        <v>4</v>
      </c>
      <c r="G8" s="431" t="s">
        <v>6</v>
      </c>
      <c r="H8" s="461" t="s">
        <v>175</v>
      </c>
      <c r="I8" s="486"/>
      <c r="J8" s="429" t="s">
        <v>62</v>
      </c>
      <c r="K8" s="430" t="s">
        <v>3</v>
      </c>
      <c r="L8" s="466" t="s">
        <v>4</v>
      </c>
      <c r="M8" s="466" t="s">
        <v>65</v>
      </c>
      <c r="N8" s="467"/>
      <c r="O8" s="468" t="s">
        <v>175</v>
      </c>
      <c r="P8" s="414"/>
      <c r="Q8" s="469" t="s">
        <v>63</v>
      </c>
      <c r="R8" s="76"/>
      <c r="S8" s="117"/>
      <c r="T8" s="117"/>
    </row>
    <row r="9" spans="2:25" x14ac:dyDescent="0.2">
      <c r="B9" s="17"/>
      <c r="H9" s="75"/>
      <c r="I9" s="487"/>
      <c r="J9" s="17"/>
      <c r="N9" s="504"/>
      <c r="P9" s="515"/>
      <c r="Q9" s="382"/>
      <c r="R9" s="76"/>
    </row>
    <row r="10" spans="2:25" ht="24.95" customHeight="1" x14ac:dyDescent="0.2">
      <c r="B10" s="73" t="s">
        <v>31</v>
      </c>
      <c r="C10" s="3" t="s">
        <v>19</v>
      </c>
      <c r="D10" s="224">
        <f>Appropriated!D8</f>
        <v>7470695</v>
      </c>
      <c r="E10" s="4">
        <f>Appropriated!E8</f>
        <v>5190115.7399999984</v>
      </c>
      <c r="F10" s="4">
        <f>Appropriated!F8</f>
        <v>2508049.649999999</v>
      </c>
      <c r="G10" s="4">
        <f>Appropriated!H8</f>
        <v>-142157</v>
      </c>
      <c r="H10" s="82">
        <f>D10-E10-F10-G10</f>
        <v>-85313.389999997336</v>
      </c>
      <c r="I10" s="488"/>
      <c r="J10" s="4">
        <v>0</v>
      </c>
      <c r="K10" s="4">
        <v>0</v>
      </c>
      <c r="L10" s="4">
        <v>0</v>
      </c>
      <c r="M10" s="4">
        <v>0</v>
      </c>
      <c r="N10" s="505"/>
      <c r="O10" s="85">
        <f>J10-K10-L10-M10</f>
        <v>0</v>
      </c>
      <c r="P10" s="505"/>
      <c r="Q10" s="65">
        <f>H10+O10</f>
        <v>-85313.389999997336</v>
      </c>
      <c r="R10" s="76"/>
    </row>
    <row r="11" spans="2:25" ht="24.95" customHeight="1" thickBot="1" x14ac:dyDescent="0.3">
      <c r="B11" s="20">
        <v>200</v>
      </c>
      <c r="C11" s="6" t="s">
        <v>8</v>
      </c>
      <c r="D11" s="7">
        <f>Appropriated!D10</f>
        <v>2039255</v>
      </c>
      <c r="E11" s="7">
        <f>Appropriated!E10</f>
        <v>1490185.56</v>
      </c>
      <c r="F11" s="7">
        <f>Appropriated!F10</f>
        <v>258783.25</v>
      </c>
      <c r="G11" s="13">
        <f>Appropriated!H10</f>
        <v>199066</v>
      </c>
      <c r="H11" s="21">
        <f>D11-E11-F11-G11</f>
        <v>91220.189999999944</v>
      </c>
      <c r="I11" s="489"/>
      <c r="J11" s="7">
        <v>0</v>
      </c>
      <c r="K11" s="7">
        <v>0</v>
      </c>
      <c r="L11" s="7">
        <v>0</v>
      </c>
      <c r="M11" s="7">
        <v>0</v>
      </c>
      <c r="N11" s="506"/>
      <c r="O11" s="111">
        <f>J11-K11-L11-M11</f>
        <v>0</v>
      </c>
      <c r="P11" s="506"/>
      <c r="Q11" s="383">
        <f>H11+O11</f>
        <v>91220.189999999944</v>
      </c>
      <c r="R11" s="76"/>
    </row>
    <row r="12" spans="2:25" s="12" customFormat="1" ht="30" customHeight="1" thickBot="1" x14ac:dyDescent="0.3">
      <c r="B12" s="22"/>
      <c r="C12" s="8" t="s">
        <v>9</v>
      </c>
      <c r="D12" s="9">
        <f>SUM(D10:D11)</f>
        <v>9509950</v>
      </c>
      <c r="E12" s="62">
        <f>SUM(E10:E11)</f>
        <v>6680301.2999999989</v>
      </c>
      <c r="F12" s="62">
        <f>SUM(F10:F11)</f>
        <v>2766832.899999999</v>
      </c>
      <c r="G12" s="62">
        <f>SUM(G10:G11)</f>
        <v>56909</v>
      </c>
      <c r="H12" s="129">
        <f>SUM(H10:H11)</f>
        <v>5906.8000000026077</v>
      </c>
      <c r="I12" s="490"/>
      <c r="J12" s="63">
        <f>SUM(J10:J11)</f>
        <v>0</v>
      </c>
      <c r="K12" s="66">
        <f>SUM(K10:K11)</f>
        <v>0</v>
      </c>
      <c r="L12" s="66">
        <f>SUM(L10:L11)</f>
        <v>0</v>
      </c>
      <c r="M12" s="66">
        <f>SUM(M10:M11)</f>
        <v>0</v>
      </c>
      <c r="N12" s="485"/>
      <c r="O12" s="66">
        <f>SUM(O10:O11)</f>
        <v>0</v>
      </c>
      <c r="P12" s="516"/>
      <c r="Q12" s="67">
        <f>H12+O12</f>
        <v>5906.8000000026077</v>
      </c>
      <c r="R12" s="90"/>
      <c r="V12" s="79"/>
    </row>
    <row r="13" spans="2:25" s="59" customFormat="1" x14ac:dyDescent="0.2">
      <c r="B13" s="470"/>
      <c r="C13" s="471"/>
      <c r="D13" s="472"/>
      <c r="E13" s="473"/>
      <c r="F13" s="473"/>
      <c r="G13" s="473"/>
      <c r="H13" s="474"/>
      <c r="I13" s="415"/>
      <c r="J13" s="475"/>
      <c r="K13" s="473"/>
      <c r="L13" s="473"/>
      <c r="M13" s="473"/>
      <c r="N13" s="507"/>
      <c r="O13" s="473"/>
      <c r="P13" s="507"/>
      <c r="Q13" s="476"/>
      <c r="R13" s="76"/>
    </row>
    <row r="14" spans="2:25" ht="24.95" customHeight="1" x14ac:dyDescent="0.25">
      <c r="B14" s="18">
        <v>300</v>
      </c>
      <c r="C14" s="93" t="s">
        <v>20</v>
      </c>
      <c r="D14" s="223">
        <f>Appropriated!D14</f>
        <v>108766</v>
      </c>
      <c r="E14" s="4">
        <f>Appropriated!E14</f>
        <v>121147.57</v>
      </c>
      <c r="F14" s="4">
        <f>Appropriated!F14</f>
        <v>26416.75</v>
      </c>
      <c r="G14" s="4">
        <f>Appropriated!H14</f>
        <v>8766</v>
      </c>
      <c r="H14" s="19">
        <f t="shared" ref="H14:H20" si="0">D14-E14-F14-G14</f>
        <v>-47564.320000000007</v>
      </c>
      <c r="I14" s="488"/>
      <c r="J14" s="110">
        <v>0</v>
      </c>
      <c r="K14" s="4">
        <v>0</v>
      </c>
      <c r="L14" s="4">
        <v>0</v>
      </c>
      <c r="M14" s="4">
        <v>0</v>
      </c>
      <c r="N14" s="505"/>
      <c r="O14" s="112">
        <f t="shared" ref="O14:O20" si="1">J14-K14-L14-M14</f>
        <v>0</v>
      </c>
      <c r="P14" s="505"/>
      <c r="Q14" s="65">
        <f t="shared" ref="Q14:Q21" si="2">H14+O14</f>
        <v>-47564.320000000007</v>
      </c>
      <c r="R14" s="76"/>
    </row>
    <row r="15" spans="2:25" ht="24.95" customHeight="1" x14ac:dyDescent="0.25">
      <c r="B15" s="18">
        <v>400</v>
      </c>
      <c r="C15" s="3" t="s">
        <v>10</v>
      </c>
      <c r="D15" s="225">
        <f>Appropriated!D16</f>
        <v>112000</v>
      </c>
      <c r="E15" s="13">
        <f>Appropriated!E16</f>
        <v>72446.680000000008</v>
      </c>
      <c r="F15" s="13">
        <f>Appropriated!F16</f>
        <v>14618.009999999998</v>
      </c>
      <c r="G15" s="13">
        <f>Appropriated!H16</f>
        <v>-100539</v>
      </c>
      <c r="H15" s="24">
        <f t="shared" si="0"/>
        <v>125474.31</v>
      </c>
      <c r="I15" s="491"/>
      <c r="J15" s="261">
        <v>111000</v>
      </c>
      <c r="K15" s="13">
        <v>81316</v>
      </c>
      <c r="L15" s="13">
        <v>34600</v>
      </c>
      <c r="M15" s="13">
        <v>40539</v>
      </c>
      <c r="N15" s="508"/>
      <c r="O15" s="97">
        <f t="shared" si="1"/>
        <v>-45455</v>
      </c>
      <c r="P15" s="508"/>
      <c r="Q15" s="270">
        <f t="shared" si="2"/>
        <v>80019.31</v>
      </c>
      <c r="R15" s="76" t="s">
        <v>119</v>
      </c>
      <c r="U15" s="36"/>
    </row>
    <row r="16" spans="2:25" ht="24.95" customHeight="1" x14ac:dyDescent="0.25">
      <c r="B16" s="18">
        <v>500</v>
      </c>
      <c r="C16" s="3" t="s">
        <v>22</v>
      </c>
      <c r="D16" s="225">
        <f>Appropriated!D18+Appropriated!D20+Appropriated!D22+Appropriated!D24</f>
        <v>11517194</v>
      </c>
      <c r="E16" s="13">
        <f>Appropriated!E18+Appropriated!E20+Appropriated!E22+Appropriated!E24</f>
        <v>8591674.5300000012</v>
      </c>
      <c r="F16" s="13">
        <f>Appropriated!F18+Appropriated!F20+Appropriated!F22+Appropriated!F24</f>
        <v>3304897.16</v>
      </c>
      <c r="G16" s="13">
        <f>Appropriated!H18+Appropriated!H20+Appropriated!H22+Appropriated!H24</f>
        <v>-288576</v>
      </c>
      <c r="H16" s="24">
        <f t="shared" si="0"/>
        <v>-90801.690000001341</v>
      </c>
      <c r="I16" s="491"/>
      <c r="J16" s="261">
        <v>128500</v>
      </c>
      <c r="K16" s="418">
        <v>116870</v>
      </c>
      <c r="L16" s="418">
        <v>25731</v>
      </c>
      <c r="M16" s="13">
        <v>0</v>
      </c>
      <c r="N16" s="508"/>
      <c r="O16" s="97">
        <f t="shared" si="1"/>
        <v>-14101</v>
      </c>
      <c r="P16" s="508"/>
      <c r="Q16" s="270">
        <f t="shared" si="2"/>
        <v>-104902.69000000134</v>
      </c>
      <c r="R16" s="76"/>
    </row>
    <row r="17" spans="2:19" ht="24.95" customHeight="1" x14ac:dyDescent="0.25">
      <c r="B17" s="18">
        <v>600</v>
      </c>
      <c r="C17" s="3" t="s">
        <v>13</v>
      </c>
      <c r="D17" s="151">
        <f>Appropriated!D26</f>
        <v>124000</v>
      </c>
      <c r="E17" s="13">
        <f>Appropriated!E26</f>
        <v>96928.559999999983</v>
      </c>
      <c r="F17" s="13">
        <f>Appropriated!F26</f>
        <v>1107.98</v>
      </c>
      <c r="G17" s="13">
        <f>Appropriated!H26</f>
        <v>-6894</v>
      </c>
      <c r="H17" s="24">
        <f t="shared" si="0"/>
        <v>32857.460000000021</v>
      </c>
      <c r="I17" s="491"/>
      <c r="J17" s="261">
        <v>457772</v>
      </c>
      <c r="K17" s="419">
        <v>179832</v>
      </c>
      <c r="L17" s="419">
        <v>218384</v>
      </c>
      <c r="M17" s="13"/>
      <c r="N17" s="508"/>
      <c r="O17" s="97">
        <f t="shared" si="1"/>
        <v>59556</v>
      </c>
      <c r="P17" s="508"/>
      <c r="Q17" s="270">
        <f t="shared" si="2"/>
        <v>92413.460000000021</v>
      </c>
      <c r="R17" s="76" t="s">
        <v>118</v>
      </c>
    </row>
    <row r="18" spans="2:19" ht="24.95" customHeight="1" x14ac:dyDescent="0.25">
      <c r="B18" s="18">
        <v>700</v>
      </c>
      <c r="C18" s="3" t="s">
        <v>14</v>
      </c>
      <c r="D18" s="225">
        <f>Appropriated!D28</f>
        <v>113000</v>
      </c>
      <c r="E18" s="13">
        <f>Appropriated!E28</f>
        <v>128513.37</v>
      </c>
      <c r="F18" s="13">
        <f>Appropriated!F28</f>
        <v>1674</v>
      </c>
      <c r="G18" s="13">
        <f>Appropriated!H28</f>
        <v>6000</v>
      </c>
      <c r="H18" s="24">
        <f t="shared" si="0"/>
        <v>-23187.369999999995</v>
      </c>
      <c r="I18" s="491"/>
      <c r="J18" s="190">
        <v>0</v>
      </c>
      <c r="K18" s="13">
        <v>0</v>
      </c>
      <c r="L18" s="13">
        <v>0</v>
      </c>
      <c r="M18" s="13">
        <v>0</v>
      </c>
      <c r="N18" s="508"/>
      <c r="O18" s="97">
        <f t="shared" si="1"/>
        <v>0</v>
      </c>
      <c r="P18" s="508"/>
      <c r="Q18" s="270">
        <f t="shared" si="2"/>
        <v>-23187.369999999995</v>
      </c>
      <c r="R18" s="76"/>
    </row>
    <row r="19" spans="2:19" ht="24.95" customHeight="1" x14ac:dyDescent="0.25">
      <c r="B19" s="18">
        <v>800</v>
      </c>
      <c r="C19" s="3" t="s">
        <v>21</v>
      </c>
      <c r="D19" s="13">
        <f>Appropriated!D30</f>
        <v>20000</v>
      </c>
      <c r="E19" s="13">
        <f>Appropriated!E30</f>
        <v>17423.919999999998</v>
      </c>
      <c r="F19" s="13">
        <f>Appropriated!F30</f>
        <v>0</v>
      </c>
      <c r="G19" s="13">
        <f>Appropriated!H30</f>
        <v>0</v>
      </c>
      <c r="H19" s="24">
        <f t="shared" si="0"/>
        <v>2576.0800000000017</v>
      </c>
      <c r="I19" s="492"/>
      <c r="J19" s="190">
        <v>0</v>
      </c>
      <c r="K19" s="13">
        <v>0</v>
      </c>
      <c r="L19" s="13">
        <v>0</v>
      </c>
      <c r="M19" s="13">
        <v>0</v>
      </c>
      <c r="N19" s="509"/>
      <c r="O19" s="97">
        <f t="shared" si="1"/>
        <v>0</v>
      </c>
      <c r="P19" s="509"/>
      <c r="Q19" s="270">
        <f t="shared" si="2"/>
        <v>2576.0800000000017</v>
      </c>
      <c r="R19" s="76"/>
    </row>
    <row r="20" spans="2:19" ht="24.95" customHeight="1" thickBot="1" x14ac:dyDescent="0.3">
      <c r="B20" s="20">
        <v>900</v>
      </c>
      <c r="C20" s="6" t="s">
        <v>30</v>
      </c>
      <c r="D20" s="7">
        <v>0</v>
      </c>
      <c r="E20" s="7">
        <v>0</v>
      </c>
      <c r="F20" s="7">
        <v>0</v>
      </c>
      <c r="G20" s="7">
        <v>0</v>
      </c>
      <c r="H20" s="256">
        <f t="shared" si="0"/>
        <v>0</v>
      </c>
      <c r="I20" s="493"/>
      <c r="J20" s="257">
        <v>0</v>
      </c>
      <c r="K20" s="7">
        <v>0</v>
      </c>
      <c r="L20" s="7">
        <v>0</v>
      </c>
      <c r="M20" s="7">
        <v>0</v>
      </c>
      <c r="N20" s="510"/>
      <c r="O20" s="258">
        <f t="shared" si="1"/>
        <v>0</v>
      </c>
      <c r="P20" s="510"/>
      <c r="Q20" s="271">
        <f t="shared" si="2"/>
        <v>0</v>
      </c>
      <c r="R20" s="76"/>
    </row>
    <row r="21" spans="2:19" s="12" customFormat="1" ht="30" customHeight="1" x14ac:dyDescent="0.25">
      <c r="B21" s="22"/>
      <c r="C21" s="8" t="s">
        <v>15</v>
      </c>
      <c r="D21" s="9">
        <f>SUM(D14:D20)</f>
        <v>11994960</v>
      </c>
      <c r="E21" s="10">
        <f>SUM(E14:E20)</f>
        <v>9028134.6300000008</v>
      </c>
      <c r="F21" s="10">
        <f>SUM(F14:F20)</f>
        <v>3348713.9</v>
      </c>
      <c r="G21" s="10">
        <f>SUM(G14:G20)</f>
        <v>-381243</v>
      </c>
      <c r="H21" s="23">
        <f>SUM(H14:H20)</f>
        <v>-645.53000000132306</v>
      </c>
      <c r="I21" s="494"/>
      <c r="J21" s="255">
        <f>SUM(J14:J20)</f>
        <v>697272</v>
      </c>
      <c r="K21" s="10">
        <f>SUM(K14:K20)</f>
        <v>378018</v>
      </c>
      <c r="L21" s="10">
        <f>SUM(L14:L20)</f>
        <v>278715</v>
      </c>
      <c r="M21" s="10">
        <f>SUM(M14:M20)</f>
        <v>40539</v>
      </c>
      <c r="N21" s="511"/>
      <c r="O21" s="380">
        <f>SUM(O14:O20)</f>
        <v>0</v>
      </c>
      <c r="P21" s="511"/>
      <c r="Q21" s="67">
        <f t="shared" si="2"/>
        <v>-645.53000000132306</v>
      </c>
      <c r="R21" s="90"/>
      <c r="S21" s="267"/>
    </row>
    <row r="22" spans="2:19" ht="15.75" thickBot="1" x14ac:dyDescent="0.3">
      <c r="B22" s="433"/>
      <c r="C22" s="477"/>
      <c r="D22" s="477"/>
      <c r="E22" s="478"/>
      <c r="F22" s="478"/>
      <c r="G22" s="478"/>
      <c r="H22" s="479"/>
      <c r="I22" s="416"/>
      <c r="J22" s="480"/>
      <c r="K22" s="481"/>
      <c r="L22" s="481"/>
      <c r="M22" s="481"/>
      <c r="N22" s="503"/>
      <c r="O22" s="482"/>
      <c r="P22" s="517"/>
      <c r="Q22" s="479"/>
      <c r="R22" s="76"/>
    </row>
    <row r="23" spans="2:19" s="12" customFormat="1" ht="35.1" customHeight="1" thickTop="1" thickBot="1" x14ac:dyDescent="0.3">
      <c r="B23" s="130"/>
      <c r="C23" s="74" t="s">
        <v>24</v>
      </c>
      <c r="D23" s="28">
        <f>D21+D12</f>
        <v>21504910</v>
      </c>
      <c r="E23" s="28">
        <f>E21+E12</f>
        <v>15708435.93</v>
      </c>
      <c r="F23" s="28">
        <f>F21+F12</f>
        <v>6115546.7999999989</v>
      </c>
      <c r="G23" s="28">
        <f>G21+G12</f>
        <v>-324334</v>
      </c>
      <c r="H23" s="29">
        <f>H21+H12</f>
        <v>5261.2700000012846</v>
      </c>
      <c r="I23" s="495"/>
      <c r="J23" s="113">
        <f>J21+J12</f>
        <v>697272</v>
      </c>
      <c r="K23" s="16">
        <f>K21+K12</f>
        <v>378018</v>
      </c>
      <c r="L23" s="16">
        <f>L21+L12</f>
        <v>278715</v>
      </c>
      <c r="M23" s="16">
        <f>M21+M12</f>
        <v>40539</v>
      </c>
      <c r="N23" s="512"/>
      <c r="O23" s="16">
        <f>O21+O12</f>
        <v>0</v>
      </c>
      <c r="P23" s="512"/>
      <c r="Q23" s="114">
        <f>H23+O23</f>
        <v>5261.2700000012846</v>
      </c>
      <c r="R23" s="90"/>
    </row>
    <row r="24" spans="2:19" s="12" customFormat="1" ht="18" customHeight="1" thickTop="1" x14ac:dyDescent="0.25">
      <c r="B24" s="27"/>
      <c r="C24" s="27"/>
      <c r="D24" s="34"/>
      <c r="E24" s="34"/>
      <c r="F24" s="34"/>
      <c r="G24" s="34"/>
      <c r="H24" s="34"/>
      <c r="I24" s="496"/>
      <c r="J24" s="35"/>
      <c r="K24" s="35"/>
      <c r="L24" s="35"/>
      <c r="M24" s="30"/>
      <c r="N24" s="513"/>
      <c r="P24" s="518"/>
      <c r="Q24" s="34"/>
      <c r="R24" s="34"/>
    </row>
    <row r="25" spans="2:19" ht="15" hidden="1" x14ac:dyDescent="0.25">
      <c r="B25" s="43"/>
      <c r="C25" s="44"/>
      <c r="D25" s="44"/>
      <c r="E25" s="45"/>
      <c r="F25" s="45"/>
      <c r="G25" s="44"/>
      <c r="H25" s="307"/>
      <c r="I25" s="497"/>
      <c r="N25" s="501"/>
      <c r="P25" s="519"/>
      <c r="Q25" s="64"/>
      <c r="R25" s="46"/>
    </row>
    <row r="26" spans="2:19" hidden="1" x14ac:dyDescent="0.2">
      <c r="B26" s="31"/>
      <c r="C26" s="37"/>
      <c r="D26" s="37"/>
      <c r="E26" s="39"/>
      <c r="F26" s="39"/>
      <c r="G26" s="47"/>
      <c r="H26" s="306"/>
      <c r="I26" s="498"/>
      <c r="N26" s="501"/>
      <c r="P26" s="520"/>
      <c r="Q26" s="61"/>
      <c r="R26" s="5"/>
    </row>
    <row r="27" spans="2:19" hidden="1" x14ac:dyDescent="0.2">
      <c r="B27" s="31"/>
      <c r="C27" s="37"/>
      <c r="D27" s="37"/>
      <c r="E27" s="39"/>
      <c r="F27" s="39"/>
      <c r="G27" s="47"/>
      <c r="H27" s="308"/>
      <c r="I27" s="499"/>
      <c r="N27" s="501"/>
      <c r="P27" s="521"/>
      <c r="Q27" s="25"/>
      <c r="R27" s="14"/>
    </row>
    <row r="28" spans="2:19" hidden="1" x14ac:dyDescent="0.2">
      <c r="B28" s="32"/>
      <c r="C28" s="37"/>
      <c r="D28" s="37"/>
      <c r="E28" s="39"/>
      <c r="F28" s="39"/>
      <c r="G28" s="47"/>
      <c r="H28" s="308"/>
      <c r="I28" s="499"/>
      <c r="N28" s="501"/>
      <c r="P28" s="521"/>
      <c r="Q28" s="25"/>
      <c r="R28" s="14"/>
    </row>
    <row r="29" spans="2:19" hidden="1" x14ac:dyDescent="0.2">
      <c r="B29" s="32"/>
      <c r="C29" s="37"/>
      <c r="D29" s="37"/>
      <c r="E29" s="39"/>
      <c r="F29" s="39"/>
      <c r="G29" s="48"/>
      <c r="H29" s="308"/>
      <c r="I29" s="499"/>
      <c r="N29" s="501"/>
      <c r="P29" s="521"/>
      <c r="Q29" s="25"/>
      <c r="R29" s="14"/>
    </row>
    <row r="30" spans="2:19" hidden="1" x14ac:dyDescent="0.2">
      <c r="B30" s="32"/>
      <c r="C30" s="37"/>
      <c r="D30" s="37"/>
      <c r="E30" s="39"/>
      <c r="F30" s="39"/>
      <c r="G30" s="48"/>
      <c r="H30" s="308"/>
      <c r="I30" s="499"/>
      <c r="M30" s="60"/>
      <c r="N30" s="501"/>
      <c r="P30" s="521"/>
      <c r="Q30" s="25"/>
      <c r="R30" s="14"/>
    </row>
    <row r="31" spans="2:19" hidden="1" x14ac:dyDescent="0.2">
      <c r="B31" s="58"/>
      <c r="C31" s="37"/>
      <c r="D31" s="37"/>
      <c r="E31" s="39"/>
      <c r="F31" s="39"/>
      <c r="G31" s="48"/>
      <c r="H31" s="308"/>
      <c r="I31" s="499"/>
      <c r="N31" s="501"/>
      <c r="P31" s="521"/>
      <c r="Q31" s="25"/>
      <c r="R31" s="14"/>
    </row>
    <row r="32" spans="2:19" hidden="1" x14ac:dyDescent="0.2">
      <c r="B32" s="58"/>
      <c r="C32" s="52"/>
      <c r="D32" s="50"/>
      <c r="E32" s="56"/>
      <c r="F32" s="57"/>
      <c r="G32" s="48"/>
      <c r="H32" s="308"/>
      <c r="I32" s="499"/>
      <c r="N32" s="501"/>
      <c r="P32" s="521"/>
      <c r="Q32" s="25"/>
      <c r="R32" s="14"/>
    </row>
    <row r="33" spans="2:18" hidden="1" x14ac:dyDescent="0.2">
      <c r="B33" s="55"/>
      <c r="C33" s="53"/>
      <c r="D33" s="51"/>
      <c r="E33" s="38"/>
      <c r="F33" s="39"/>
      <c r="G33" s="48"/>
      <c r="H33" s="308"/>
      <c r="I33" s="499"/>
      <c r="N33" s="501"/>
      <c r="P33" s="521"/>
      <c r="Q33" s="25"/>
      <c r="R33" s="14"/>
    </row>
    <row r="34" spans="2:18" ht="15.75" hidden="1" thickBot="1" x14ac:dyDescent="0.3">
      <c r="B34" s="54"/>
      <c r="E34" s="40"/>
      <c r="F34" s="41"/>
      <c r="G34" s="49"/>
      <c r="H34" s="309"/>
      <c r="I34" s="500"/>
      <c r="N34" s="501"/>
      <c r="P34" s="522"/>
      <c r="Q34" s="30"/>
      <c r="R34" s="33"/>
    </row>
    <row r="35" spans="2:18" hidden="1" x14ac:dyDescent="0.2">
      <c r="B35" s="81"/>
      <c r="I35" s="501"/>
      <c r="N35" s="501"/>
      <c r="P35" s="504"/>
    </row>
    <row r="36" spans="2:18" x14ac:dyDescent="0.2">
      <c r="B36" s="305"/>
      <c r="I36" s="501"/>
      <c r="N36" s="501"/>
      <c r="P36" s="504"/>
    </row>
    <row r="37" spans="2:18" x14ac:dyDescent="0.2">
      <c r="B37" s="305"/>
      <c r="I37" s="501"/>
      <c r="N37" s="501"/>
      <c r="P37" s="504"/>
    </row>
    <row r="38" spans="2:18" x14ac:dyDescent="0.2">
      <c r="D38" s="77"/>
      <c r="F38" s="78"/>
      <c r="I38" s="501"/>
      <c r="M38" s="60"/>
      <c r="N38" s="501"/>
      <c r="O38" s="60"/>
      <c r="P38" s="504"/>
      <c r="R38" s="76"/>
    </row>
    <row r="39" spans="2:18" ht="6" customHeight="1" x14ac:dyDescent="0.2">
      <c r="B39" s="483"/>
      <c r="C39" s="483"/>
      <c r="D39" s="483"/>
      <c r="E39" s="478"/>
      <c r="F39" s="484"/>
      <c r="G39" s="478"/>
      <c r="H39" s="478"/>
      <c r="I39" s="502"/>
      <c r="J39" s="478"/>
      <c r="K39" s="478"/>
      <c r="L39" s="478"/>
      <c r="M39" s="481"/>
      <c r="N39" s="502"/>
      <c r="O39" s="481"/>
      <c r="P39" s="523"/>
    </row>
    <row r="40" spans="2:18" s="12" customFormat="1" ht="15.75" thickBot="1" x14ac:dyDescent="0.3">
      <c r="B40" s="310">
        <v>400</v>
      </c>
      <c r="C40" s="311"/>
      <c r="D40" s="312"/>
      <c r="E40" s="312"/>
      <c r="F40" s="312"/>
      <c r="G40" s="312"/>
      <c r="H40" s="313" t="s">
        <v>143</v>
      </c>
      <c r="I40" s="503"/>
      <c r="J40" s="314">
        <v>200000</v>
      </c>
      <c r="K40" s="315">
        <v>190000</v>
      </c>
      <c r="L40" s="315">
        <v>10000</v>
      </c>
      <c r="M40" s="316">
        <v>-10000</v>
      </c>
      <c r="N40" s="514"/>
      <c r="O40" s="381">
        <f t="shared" ref="O40" si="3">J40-K40-L40-M40</f>
        <v>10000</v>
      </c>
      <c r="P40" s="524"/>
    </row>
    <row r="41" spans="2:18" ht="15" thickTop="1" x14ac:dyDescent="0.2">
      <c r="O41" s="60"/>
    </row>
  </sheetData>
  <mergeCells count="5">
    <mergeCell ref="S3:Y3"/>
    <mergeCell ref="D7:H7"/>
    <mergeCell ref="B3:R3"/>
    <mergeCell ref="B1:R1"/>
    <mergeCell ref="J7:O7"/>
  </mergeCells>
  <printOptions horizontalCentered="1" verticalCentered="1"/>
  <pageMargins left="0" right="0" top="0.75" bottom="0.75" header="0.3" footer="0.3"/>
  <pageSetup scale="7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8"/>
  <sheetViews>
    <sheetView workbookViewId="0">
      <pane ySplit="1935" topLeftCell="A16" activePane="bottomLeft"/>
      <selection activeCell="I2" sqref="I2"/>
      <selection pane="bottomLeft" activeCell="W16" sqref="W16"/>
    </sheetView>
  </sheetViews>
  <sheetFormatPr defaultColWidth="9.140625" defaultRowHeight="12.75" x14ac:dyDescent="0.2"/>
  <cols>
    <col min="1" max="1" width="6.5703125" style="72" customWidth="1"/>
    <col min="2" max="2" width="40.85546875" style="204" customWidth="1"/>
    <col min="3" max="3" width="12.7109375" style="204" customWidth="1"/>
    <col min="4" max="5" width="11.28515625" style="204" customWidth="1"/>
    <col min="6" max="10" width="12.7109375" style="204" customWidth="1"/>
    <col min="11" max="11" width="14.7109375" style="204" customWidth="1"/>
    <col min="12" max="12" width="6.85546875" style="219" hidden="1" customWidth="1"/>
    <col min="13" max="13" width="4.7109375" style="219" hidden="1" customWidth="1"/>
    <col min="14" max="14" width="6.85546875" style="219" hidden="1" customWidth="1"/>
    <col min="15" max="15" width="4.7109375" style="219" hidden="1" customWidth="1"/>
    <col min="16" max="17" width="6" style="219" hidden="1" customWidth="1"/>
    <col min="18" max="19" width="4.7109375" style="219" hidden="1" customWidth="1"/>
    <col min="20" max="20" width="6.85546875" style="219" hidden="1" customWidth="1"/>
    <col min="21" max="21" width="9.140625" style="204" hidden="1" customWidth="1"/>
    <col min="22" max="22" width="11.5703125" style="96" hidden="1" customWidth="1"/>
    <col min="23" max="24" width="6.7109375" style="96" customWidth="1"/>
    <col min="25" max="25" width="10.5703125" style="204" customWidth="1"/>
    <col min="26" max="26" width="9.42578125" style="204" customWidth="1"/>
    <col min="27" max="27" width="3.7109375" style="204" customWidth="1"/>
    <col min="28" max="30" width="9.140625" style="204" customWidth="1"/>
    <col min="31" max="31" width="9.85546875" style="204" customWidth="1"/>
    <col min="32" max="37" width="9.140625" style="204" customWidth="1"/>
    <col min="38" max="16384" width="9.140625" style="204"/>
  </cols>
  <sheetData>
    <row r="1" spans="1:28" ht="15.95" customHeight="1" x14ac:dyDescent="0.25">
      <c r="A1" s="563" t="s">
        <v>25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</row>
    <row r="2" spans="1:28" x14ac:dyDescent="0.2">
      <c r="B2" s="250"/>
      <c r="C2" s="250"/>
      <c r="D2" s="250"/>
      <c r="E2" s="250"/>
      <c r="F2" s="250"/>
      <c r="G2" s="250"/>
      <c r="H2" s="250"/>
      <c r="I2" s="250"/>
      <c r="J2" s="250"/>
      <c r="K2" s="219"/>
      <c r="T2" s="204"/>
      <c r="U2" s="96"/>
      <c r="X2" s="204"/>
    </row>
    <row r="3" spans="1:28" ht="16.5" thickBot="1" x14ac:dyDescent="0.3">
      <c r="A3" s="564" t="s">
        <v>209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</row>
    <row r="4" spans="1:28" ht="30" customHeight="1" thickBot="1" x14ac:dyDescent="0.25">
      <c r="A4" s="453" t="s">
        <v>127</v>
      </c>
      <c r="B4" s="454" t="s">
        <v>1</v>
      </c>
      <c r="C4" s="455" t="s">
        <v>142</v>
      </c>
      <c r="D4" s="455" t="s">
        <v>17</v>
      </c>
      <c r="E4" s="455" t="s">
        <v>147</v>
      </c>
      <c r="F4" s="455" t="s">
        <v>144</v>
      </c>
      <c r="G4" s="431" t="s">
        <v>95</v>
      </c>
      <c r="H4" s="431" t="s">
        <v>4</v>
      </c>
      <c r="I4" s="431" t="s">
        <v>5</v>
      </c>
      <c r="J4" s="431" t="s">
        <v>107</v>
      </c>
      <c r="K4" s="432" t="s">
        <v>175</v>
      </c>
      <c r="N4" s="204" t="s">
        <v>44</v>
      </c>
      <c r="V4" s="126" t="s">
        <v>69</v>
      </c>
      <c r="W4" s="126"/>
      <c r="X4" s="126"/>
      <c r="Y4" s="126"/>
      <c r="Z4" s="227"/>
      <c r="AB4" s="217"/>
    </row>
    <row r="5" spans="1:28" ht="8.1" customHeight="1" thickBot="1" x14ac:dyDescent="0.25">
      <c r="A5" s="83"/>
      <c r="C5" s="242"/>
      <c r="D5" s="242"/>
      <c r="G5" s="242"/>
      <c r="H5" s="242"/>
      <c r="I5" s="242"/>
      <c r="J5" s="242"/>
      <c r="K5" s="243"/>
      <c r="L5" s="231">
        <v>100</v>
      </c>
      <c r="M5" s="226">
        <v>200</v>
      </c>
      <c r="N5" s="226">
        <v>300</v>
      </c>
      <c r="O5" s="226">
        <v>400</v>
      </c>
      <c r="P5" s="226">
        <v>500</v>
      </c>
      <c r="Q5" s="226">
        <v>600</v>
      </c>
      <c r="R5" s="226">
        <v>700</v>
      </c>
      <c r="S5" s="226">
        <v>800</v>
      </c>
      <c r="T5" s="226" t="s">
        <v>61</v>
      </c>
      <c r="Y5" s="76"/>
      <c r="Z5" s="76"/>
    </row>
    <row r="6" spans="1:28" ht="17.100000000000001" customHeight="1" x14ac:dyDescent="0.2">
      <c r="A6" s="213">
        <v>634</v>
      </c>
      <c r="B6" s="228" t="s">
        <v>41</v>
      </c>
      <c r="C6" s="229">
        <v>313614</v>
      </c>
      <c r="D6" s="229">
        <v>127621</v>
      </c>
      <c r="E6" s="229"/>
      <c r="F6" s="229">
        <v>313614</v>
      </c>
      <c r="G6" s="392">
        <v>133846.27999999997</v>
      </c>
      <c r="H6" s="392">
        <v>62255.77</v>
      </c>
      <c r="I6" s="269">
        <f t="shared" ref="I6:I39" si="0">F6-G6-H6</f>
        <v>117511.95000000004</v>
      </c>
      <c r="J6" s="269">
        <v>70000</v>
      </c>
      <c r="K6" s="230">
        <f t="shared" ref="K6:K39" si="1">I6-J6</f>
        <v>47511.950000000041</v>
      </c>
      <c r="L6" s="231">
        <v>3201</v>
      </c>
      <c r="M6" s="226"/>
      <c r="N6" s="220">
        <v>2853</v>
      </c>
      <c r="O6" s="220"/>
      <c r="P6" s="220"/>
      <c r="Q6" s="220"/>
      <c r="R6" s="220"/>
      <c r="S6" s="220"/>
      <c r="T6" s="226">
        <f>SUM(L6:S6)</f>
        <v>6054</v>
      </c>
      <c r="W6" s="86"/>
      <c r="X6" s="86"/>
    </row>
    <row r="7" spans="1:28" ht="17.100000000000001" customHeight="1" x14ac:dyDescent="0.2">
      <c r="A7" s="84">
        <v>653</v>
      </c>
      <c r="B7" s="93" t="s">
        <v>111</v>
      </c>
      <c r="C7" s="232">
        <v>295207</v>
      </c>
      <c r="D7" s="232">
        <v>245011</v>
      </c>
      <c r="E7" s="232">
        <v>165835</v>
      </c>
      <c r="F7" s="232">
        <f>C7-E7</f>
        <v>129372</v>
      </c>
      <c r="G7" s="226">
        <v>83918</v>
      </c>
      <c r="H7" s="226">
        <v>41749</v>
      </c>
      <c r="I7" s="226">
        <f t="shared" si="0"/>
        <v>3705</v>
      </c>
      <c r="J7" s="226">
        <v>3705</v>
      </c>
      <c r="K7" s="234">
        <f t="shared" si="1"/>
        <v>0</v>
      </c>
      <c r="L7" s="231"/>
      <c r="M7" s="226"/>
      <c r="N7" s="226"/>
      <c r="O7" s="226"/>
      <c r="P7" s="226"/>
      <c r="Q7" s="226"/>
      <c r="R7" s="226"/>
      <c r="S7" s="226"/>
      <c r="T7" s="226">
        <f>SUM(L7:S7)</f>
        <v>0</v>
      </c>
      <c r="X7" s="86"/>
      <c r="Y7" s="76"/>
      <c r="Z7" s="76"/>
    </row>
    <row r="8" spans="1:28" ht="17.100000000000001" customHeight="1" x14ac:dyDescent="0.2">
      <c r="A8" s="84">
        <v>635</v>
      </c>
      <c r="B8" s="93" t="s">
        <v>42</v>
      </c>
      <c r="C8" s="232">
        <v>15078</v>
      </c>
      <c r="D8" s="232">
        <v>4976</v>
      </c>
      <c r="E8" s="232"/>
      <c r="F8" s="232">
        <v>15078</v>
      </c>
      <c r="G8" s="391">
        <v>5313</v>
      </c>
      <c r="H8" s="391">
        <v>1682</v>
      </c>
      <c r="I8" s="226">
        <f t="shared" si="0"/>
        <v>8083</v>
      </c>
      <c r="J8" s="226">
        <v>8083</v>
      </c>
      <c r="K8" s="233">
        <f t="shared" si="1"/>
        <v>0</v>
      </c>
      <c r="L8" s="231"/>
      <c r="M8" s="226"/>
      <c r="N8" s="220"/>
      <c r="O8" s="220"/>
      <c r="P8" s="220"/>
      <c r="Q8" s="220"/>
      <c r="R8" s="220"/>
      <c r="S8" s="220"/>
      <c r="T8" s="226">
        <f>SUM(L8:S8)</f>
        <v>0</v>
      </c>
      <c r="X8" s="86"/>
      <c r="Y8" s="86"/>
      <c r="Z8" s="86"/>
    </row>
    <row r="9" spans="1:28" ht="17.100000000000001" customHeight="1" x14ac:dyDescent="0.2">
      <c r="A9" s="84">
        <v>652</v>
      </c>
      <c r="B9" s="93" t="s">
        <v>112</v>
      </c>
      <c r="C9" s="232">
        <v>14130</v>
      </c>
      <c r="D9" s="232">
        <v>14130</v>
      </c>
      <c r="E9" s="232">
        <v>14130</v>
      </c>
      <c r="F9" s="232">
        <f>C9-E9</f>
        <v>0</v>
      </c>
      <c r="G9" s="391">
        <v>0</v>
      </c>
      <c r="H9" s="393">
        <v>0</v>
      </c>
      <c r="I9" s="226">
        <f t="shared" si="0"/>
        <v>0</v>
      </c>
      <c r="J9" s="226">
        <v>0</v>
      </c>
      <c r="K9" s="234">
        <f t="shared" si="1"/>
        <v>0</v>
      </c>
      <c r="L9" s="231"/>
      <c r="M9" s="226"/>
      <c r="N9" s="226"/>
      <c r="O9" s="226"/>
      <c r="P9" s="226"/>
      <c r="Q9" s="226"/>
      <c r="R9" s="226"/>
      <c r="S9" s="226"/>
      <c r="T9" s="226">
        <f>SUM(L9:S9)</f>
        <v>0</v>
      </c>
      <c r="X9" s="76"/>
      <c r="Y9" s="76"/>
      <c r="Z9" s="76"/>
    </row>
    <row r="10" spans="1:28" s="249" customFormat="1" ht="17.100000000000001" customHeight="1" x14ac:dyDescent="0.2">
      <c r="A10" s="333">
        <v>647</v>
      </c>
      <c r="B10" s="361" t="s">
        <v>122</v>
      </c>
      <c r="C10" s="288">
        <v>54747</v>
      </c>
      <c r="D10" s="288">
        <v>54747</v>
      </c>
      <c r="E10" s="288">
        <v>49175</v>
      </c>
      <c r="F10" s="232">
        <f>C10-E10</f>
        <v>5572</v>
      </c>
      <c r="G10" s="391">
        <v>5572</v>
      </c>
      <c r="H10" s="391">
        <v>0</v>
      </c>
      <c r="I10" s="247">
        <f t="shared" si="0"/>
        <v>0</v>
      </c>
      <c r="J10" s="247">
        <v>0</v>
      </c>
      <c r="K10" s="266">
        <f t="shared" si="1"/>
        <v>0</v>
      </c>
      <c r="L10" s="248"/>
      <c r="M10" s="247"/>
      <c r="N10" s="247"/>
      <c r="O10" s="247"/>
      <c r="P10" s="247"/>
      <c r="Q10" s="247"/>
      <c r="R10" s="247"/>
      <c r="S10" s="247"/>
      <c r="T10" s="247"/>
      <c r="V10" s="96"/>
      <c r="W10" s="374"/>
      <c r="X10" s="76"/>
      <c r="Y10" s="76"/>
      <c r="Z10" s="76"/>
    </row>
    <row r="11" spans="1:28" s="249" customFormat="1" ht="17.100000000000001" customHeight="1" x14ac:dyDescent="0.2">
      <c r="A11" s="333">
        <v>648</v>
      </c>
      <c r="B11" s="361" t="s">
        <v>123</v>
      </c>
      <c r="C11" s="288">
        <v>5235</v>
      </c>
      <c r="D11" s="288">
        <v>5235</v>
      </c>
      <c r="E11" s="288">
        <f>C11-F11</f>
        <v>3570</v>
      </c>
      <c r="F11" s="288">
        <v>1665</v>
      </c>
      <c r="G11" s="247">
        <v>1665</v>
      </c>
      <c r="H11" s="247">
        <v>0</v>
      </c>
      <c r="I11" s="247">
        <f t="shared" si="0"/>
        <v>0</v>
      </c>
      <c r="J11" s="247">
        <v>0</v>
      </c>
      <c r="K11" s="266">
        <f>I11-J11</f>
        <v>0</v>
      </c>
      <c r="L11" s="248"/>
      <c r="M11" s="247"/>
      <c r="N11" s="247"/>
      <c r="O11" s="247"/>
      <c r="P11" s="247"/>
      <c r="Q11" s="247"/>
      <c r="R11" s="247"/>
      <c r="S11" s="247"/>
      <c r="T11" s="247"/>
      <c r="V11" s="96"/>
      <c r="W11" s="96"/>
      <c r="X11" s="76"/>
      <c r="Y11" s="76"/>
      <c r="Z11" s="76"/>
    </row>
    <row r="12" spans="1:28" s="249" customFormat="1" ht="17.100000000000001" customHeight="1" x14ac:dyDescent="0.2">
      <c r="A12" s="84">
        <v>657</v>
      </c>
      <c r="B12" s="246" t="s">
        <v>130</v>
      </c>
      <c r="C12" s="288">
        <v>15898</v>
      </c>
      <c r="D12" s="288">
        <v>7000</v>
      </c>
      <c r="E12" s="288">
        <v>3649</v>
      </c>
      <c r="F12" s="288">
        <f>C12-E12</f>
        <v>12249</v>
      </c>
      <c r="G12" s="391">
        <v>0</v>
      </c>
      <c r="H12" s="391">
        <v>0</v>
      </c>
      <c r="I12" s="247">
        <f t="shared" si="0"/>
        <v>12249</v>
      </c>
      <c r="J12" s="247">
        <v>12249</v>
      </c>
      <c r="K12" s="266">
        <f>I12-J12</f>
        <v>0</v>
      </c>
      <c r="L12" s="248"/>
      <c r="M12" s="247"/>
      <c r="N12" s="247"/>
      <c r="O12" s="247"/>
      <c r="P12" s="247"/>
      <c r="Q12" s="247"/>
      <c r="R12" s="247"/>
      <c r="S12" s="247"/>
      <c r="T12" s="247"/>
      <c r="V12" s="96"/>
      <c r="W12" s="96"/>
      <c r="X12" s="76"/>
      <c r="Y12" s="76"/>
      <c r="Z12" s="76"/>
    </row>
    <row r="13" spans="1:28" s="249" customFormat="1" ht="17.100000000000001" customHeight="1" x14ac:dyDescent="0.2">
      <c r="A13" s="84">
        <v>659</v>
      </c>
      <c r="B13" s="246" t="s">
        <v>125</v>
      </c>
      <c r="C13" s="288">
        <v>180000</v>
      </c>
      <c r="D13" s="288">
        <v>147445</v>
      </c>
      <c r="E13" s="232">
        <f>C13-F13</f>
        <v>77663</v>
      </c>
      <c r="F13" s="288">
        <v>102337</v>
      </c>
      <c r="G13" s="391">
        <v>75133</v>
      </c>
      <c r="H13" s="391">
        <v>4613</v>
      </c>
      <c r="I13" s="247">
        <f t="shared" si="0"/>
        <v>22591</v>
      </c>
      <c r="J13" s="247">
        <v>22591</v>
      </c>
      <c r="K13" s="266">
        <f>I13-J13</f>
        <v>0</v>
      </c>
      <c r="L13" s="248"/>
      <c r="M13" s="247"/>
      <c r="N13" s="247"/>
      <c r="O13" s="247"/>
      <c r="P13" s="247"/>
      <c r="Q13" s="247"/>
      <c r="R13" s="247"/>
      <c r="S13" s="247"/>
      <c r="T13" s="247"/>
      <c r="V13" s="96"/>
      <c r="W13" s="96"/>
      <c r="X13" s="76"/>
      <c r="Y13" s="76"/>
      <c r="Z13" s="76"/>
    </row>
    <row r="14" spans="1:28" s="249" customFormat="1" ht="17.100000000000001" customHeight="1" x14ac:dyDescent="0.2">
      <c r="A14" s="333">
        <v>651</v>
      </c>
      <c r="B14" s="361" t="s">
        <v>149</v>
      </c>
      <c r="C14" s="288">
        <v>16250</v>
      </c>
      <c r="D14" s="288">
        <v>8266</v>
      </c>
      <c r="E14" s="288">
        <f>C14-F14</f>
        <v>3054</v>
      </c>
      <c r="F14" s="288">
        <v>13196</v>
      </c>
      <c r="G14" s="391">
        <v>5211.8100000000004</v>
      </c>
      <c r="H14" s="391">
        <v>0</v>
      </c>
      <c r="I14" s="247">
        <f t="shared" si="0"/>
        <v>7984.19</v>
      </c>
      <c r="J14" s="247">
        <v>0</v>
      </c>
      <c r="K14" s="334">
        <f t="shared" si="1"/>
        <v>7984.19</v>
      </c>
      <c r="L14" s="248"/>
      <c r="M14" s="247"/>
      <c r="N14" s="247"/>
      <c r="O14" s="247"/>
      <c r="P14" s="247"/>
      <c r="Q14" s="247"/>
      <c r="R14" s="247"/>
      <c r="S14" s="247"/>
      <c r="T14" s="247"/>
      <c r="V14" s="96"/>
      <c r="W14" s="96"/>
      <c r="X14" s="76"/>
      <c r="Y14" s="290"/>
      <c r="Z14" s="76"/>
    </row>
    <row r="15" spans="1:28" s="249" customFormat="1" ht="17.100000000000001" customHeight="1" x14ac:dyDescent="0.2">
      <c r="A15" s="333">
        <v>660</v>
      </c>
      <c r="B15" s="361" t="s">
        <v>124</v>
      </c>
      <c r="C15" s="288">
        <v>25000</v>
      </c>
      <c r="D15" s="288">
        <v>25000</v>
      </c>
      <c r="E15" s="288">
        <f>C15-F15</f>
        <v>18065</v>
      </c>
      <c r="F15" s="288">
        <v>6935</v>
      </c>
      <c r="G15" s="391">
        <v>6935</v>
      </c>
      <c r="H15" s="391">
        <v>0</v>
      </c>
      <c r="I15" s="247">
        <f>F15-G15-H15</f>
        <v>0</v>
      </c>
      <c r="J15" s="247">
        <v>0</v>
      </c>
      <c r="K15" s="265">
        <f>I15-J15</f>
        <v>0</v>
      </c>
      <c r="L15" s="248"/>
      <c r="M15" s="247"/>
      <c r="N15" s="247"/>
      <c r="O15" s="247"/>
      <c r="P15" s="247"/>
      <c r="Q15" s="247"/>
      <c r="R15" s="247"/>
      <c r="S15" s="247"/>
      <c r="T15" s="247"/>
      <c r="V15" s="241"/>
      <c r="W15" s="241"/>
      <c r="X15" s="76"/>
      <c r="Y15" s="76"/>
      <c r="AB15" s="272"/>
    </row>
    <row r="16" spans="1:28" s="249" customFormat="1" ht="17.100000000000001" customHeight="1" x14ac:dyDescent="0.2">
      <c r="A16" s="84">
        <v>636</v>
      </c>
      <c r="B16" s="246" t="s">
        <v>66</v>
      </c>
      <c r="C16" s="288">
        <v>274514</v>
      </c>
      <c r="D16" s="288">
        <v>107312</v>
      </c>
      <c r="E16" s="288"/>
      <c r="F16" s="288">
        <v>274514</v>
      </c>
      <c r="G16" s="247">
        <v>115652.84</v>
      </c>
      <c r="H16" s="247">
        <v>82867</v>
      </c>
      <c r="I16" s="247">
        <f t="shared" si="0"/>
        <v>75994.16</v>
      </c>
      <c r="J16" s="247">
        <v>35000</v>
      </c>
      <c r="K16" s="265">
        <f>I16-J16</f>
        <v>40994.160000000003</v>
      </c>
      <c r="L16" s="248"/>
      <c r="M16" s="247"/>
      <c r="N16" s="247"/>
      <c r="O16" s="247"/>
      <c r="P16" s="247"/>
      <c r="Q16" s="247"/>
      <c r="R16" s="247"/>
      <c r="S16" s="247"/>
      <c r="T16" s="247"/>
      <c r="V16" s="96"/>
      <c r="W16" s="576">
        <f>K16/C16</f>
        <v>0.14933358590090123</v>
      </c>
      <c r="X16" s="290"/>
      <c r="Y16" s="388"/>
      <c r="Z16" s="86"/>
      <c r="AB16" s="272"/>
    </row>
    <row r="17" spans="1:29" ht="17.100000000000001" customHeight="1" x14ac:dyDescent="0.2">
      <c r="A17" s="84">
        <v>654</v>
      </c>
      <c r="B17" s="93" t="s">
        <v>113</v>
      </c>
      <c r="C17" s="288">
        <v>244488</v>
      </c>
      <c r="D17" s="288">
        <v>233942</v>
      </c>
      <c r="E17" s="232">
        <f>C17-F17</f>
        <v>224169</v>
      </c>
      <c r="F17" s="232">
        <v>20319</v>
      </c>
      <c r="G17" s="391">
        <v>12901</v>
      </c>
      <c r="H17" s="391">
        <v>7823</v>
      </c>
      <c r="I17" s="226">
        <f t="shared" si="0"/>
        <v>-405</v>
      </c>
      <c r="J17" s="226">
        <v>-405</v>
      </c>
      <c r="K17" s="233">
        <f>I17-J17</f>
        <v>0</v>
      </c>
      <c r="L17" s="231"/>
      <c r="M17" s="226"/>
      <c r="N17" s="226"/>
      <c r="O17" s="226"/>
      <c r="P17" s="226"/>
      <c r="Q17" s="226"/>
      <c r="R17" s="226"/>
      <c r="S17" s="226"/>
      <c r="T17" s="226"/>
      <c r="V17" s="244"/>
      <c r="W17" s="244"/>
      <c r="X17" s="244"/>
      <c r="Y17" s="272"/>
    </row>
    <row r="18" spans="1:29" s="378" customFormat="1" ht="17.100000000000001" customHeight="1" x14ac:dyDescent="0.2">
      <c r="A18" s="84">
        <v>637</v>
      </c>
      <c r="B18" s="246" t="s">
        <v>67</v>
      </c>
      <c r="C18" s="317">
        <v>35312</v>
      </c>
      <c r="D18" s="288">
        <v>0</v>
      </c>
      <c r="E18" s="288"/>
      <c r="F18" s="288">
        <v>35312</v>
      </c>
      <c r="G18" s="247">
        <v>0</v>
      </c>
      <c r="H18" s="247">
        <v>0</v>
      </c>
      <c r="I18" s="247">
        <f t="shared" si="0"/>
        <v>35312</v>
      </c>
      <c r="J18" s="247">
        <v>0</v>
      </c>
      <c r="K18" s="265">
        <f t="shared" si="1"/>
        <v>35312</v>
      </c>
      <c r="L18" s="248"/>
      <c r="M18" s="247"/>
      <c r="N18" s="385"/>
      <c r="O18" s="385"/>
      <c r="P18" s="385"/>
      <c r="Q18" s="385"/>
      <c r="R18" s="385"/>
      <c r="S18" s="385"/>
      <c r="T18" s="247"/>
      <c r="V18" s="96"/>
      <c r="W18" s="96"/>
      <c r="X18" s="96"/>
      <c r="Y18" s="272"/>
      <c r="Z18" s="272"/>
    </row>
    <row r="19" spans="1:29" ht="17.100000000000001" customHeight="1" x14ac:dyDescent="0.2">
      <c r="A19" s="84">
        <v>655</v>
      </c>
      <c r="B19" s="93" t="s">
        <v>114</v>
      </c>
      <c r="C19" s="288">
        <v>35608</v>
      </c>
      <c r="D19" s="288">
        <v>30415</v>
      </c>
      <c r="E19" s="232">
        <v>7095</v>
      </c>
      <c r="F19" s="232">
        <v>28813</v>
      </c>
      <c r="G19" s="391">
        <v>26131</v>
      </c>
      <c r="H19" s="391">
        <v>0</v>
      </c>
      <c r="I19" s="226">
        <f t="shared" si="0"/>
        <v>2682</v>
      </c>
      <c r="J19" s="226">
        <v>2682</v>
      </c>
      <c r="K19" s="233">
        <f t="shared" si="1"/>
        <v>0</v>
      </c>
      <c r="L19" s="231"/>
      <c r="M19" s="226"/>
      <c r="N19" s="226"/>
      <c r="O19" s="226"/>
      <c r="P19" s="226"/>
      <c r="Q19" s="226"/>
      <c r="R19" s="226"/>
      <c r="S19" s="226"/>
      <c r="T19" s="226"/>
      <c r="V19" s="241"/>
      <c r="W19" s="204"/>
      <c r="X19" s="241"/>
      <c r="Y19" s="278"/>
    </row>
    <row r="20" spans="1:29" s="377" customFormat="1" ht="17.100000000000001" customHeight="1" x14ac:dyDescent="0.2">
      <c r="A20" s="84">
        <v>638</v>
      </c>
      <c r="B20" s="246" t="s">
        <v>34</v>
      </c>
      <c r="C20" s="288">
        <v>2464</v>
      </c>
      <c r="D20" s="288">
        <v>0</v>
      </c>
      <c r="E20" s="288" t="s">
        <v>120</v>
      </c>
      <c r="F20" s="288">
        <v>2464</v>
      </c>
      <c r="G20" s="247">
        <v>2256</v>
      </c>
      <c r="H20" s="247">
        <v>1410.02</v>
      </c>
      <c r="I20" s="247">
        <f t="shared" si="0"/>
        <v>-1202.02</v>
      </c>
      <c r="J20" s="247">
        <v>-1202</v>
      </c>
      <c r="K20" s="265">
        <f t="shared" si="1"/>
        <v>-1.999999999998181E-2</v>
      </c>
      <c r="L20" s="248"/>
      <c r="M20" s="247"/>
      <c r="N20" s="247"/>
      <c r="O20" s="247"/>
      <c r="P20" s="247"/>
      <c r="Q20" s="247"/>
      <c r="R20" s="247"/>
      <c r="S20" s="247"/>
      <c r="T20" s="247">
        <f>SUM(L20:S20)</f>
        <v>0</v>
      </c>
      <c r="V20" s="96"/>
      <c r="X20" s="96"/>
      <c r="Y20" s="96"/>
    </row>
    <row r="21" spans="1:29" s="378" customFormat="1" ht="17.100000000000001" customHeight="1" x14ac:dyDescent="0.2">
      <c r="A21" s="84">
        <v>672</v>
      </c>
      <c r="B21" s="246" t="s">
        <v>104</v>
      </c>
      <c r="C21" s="288">
        <v>20005</v>
      </c>
      <c r="D21" s="288">
        <v>6622</v>
      </c>
      <c r="E21" s="288"/>
      <c r="F21" s="288">
        <v>20005</v>
      </c>
      <c r="G21" s="247">
        <v>6961.68</v>
      </c>
      <c r="H21" s="247">
        <v>3394.8</v>
      </c>
      <c r="I21" s="247">
        <f t="shared" si="0"/>
        <v>9648.52</v>
      </c>
      <c r="J21" s="247">
        <v>2543</v>
      </c>
      <c r="K21" s="265">
        <f t="shared" si="1"/>
        <v>7105.52</v>
      </c>
      <c r="L21" s="248"/>
      <c r="M21" s="247"/>
      <c r="N21" s="247"/>
      <c r="O21" s="247"/>
      <c r="P21" s="247"/>
      <c r="Q21" s="247"/>
      <c r="R21" s="247"/>
      <c r="S21" s="247"/>
      <c r="T21" s="247"/>
      <c r="V21" s="96"/>
      <c r="X21" s="96"/>
      <c r="Y21" s="278"/>
      <c r="Z21" s="272"/>
    </row>
    <row r="22" spans="1:29" ht="17.100000000000001" customHeight="1" x14ac:dyDescent="0.2">
      <c r="A22" s="84">
        <v>675</v>
      </c>
      <c r="B22" s="93" t="s">
        <v>115</v>
      </c>
      <c r="C22" s="288">
        <v>17482</v>
      </c>
      <c r="D22" s="288">
        <v>17482</v>
      </c>
      <c r="E22" s="232">
        <f>C22-F22</f>
        <v>9464</v>
      </c>
      <c r="F22" s="232">
        <v>8018</v>
      </c>
      <c r="G22" s="393">
        <v>8018</v>
      </c>
      <c r="H22" s="393">
        <v>0</v>
      </c>
      <c r="I22" s="226">
        <f t="shared" si="0"/>
        <v>0</v>
      </c>
      <c r="J22" s="226">
        <v>0</v>
      </c>
      <c r="K22" s="233">
        <f t="shared" si="1"/>
        <v>0</v>
      </c>
      <c r="L22" s="231"/>
      <c r="M22" s="226"/>
      <c r="N22" s="226"/>
      <c r="O22" s="226"/>
      <c r="P22" s="226"/>
      <c r="Q22" s="226"/>
      <c r="R22" s="226"/>
      <c r="S22" s="226"/>
      <c r="T22" s="226"/>
      <c r="V22" s="241"/>
      <c r="W22" s="204"/>
      <c r="X22" s="241"/>
      <c r="Y22" s="526"/>
      <c r="AA22" s="235"/>
    </row>
    <row r="23" spans="1:29" s="249" customFormat="1" ht="17.100000000000001" customHeight="1" x14ac:dyDescent="0.2">
      <c r="A23" s="120">
        <v>682</v>
      </c>
      <c r="B23" s="389" t="s">
        <v>169</v>
      </c>
      <c r="C23" s="332">
        <v>660633</v>
      </c>
      <c r="D23" s="332">
        <v>660633</v>
      </c>
      <c r="E23" s="332">
        <v>0</v>
      </c>
      <c r="F23" s="332">
        <v>660632</v>
      </c>
      <c r="G23" s="330">
        <v>23297.61</v>
      </c>
      <c r="H23" s="330">
        <v>3486.73</v>
      </c>
      <c r="I23" s="330">
        <f>F23-G23-H23</f>
        <v>633847.66</v>
      </c>
      <c r="J23" s="330">
        <v>150000</v>
      </c>
      <c r="K23" s="266">
        <f>I23-J23</f>
        <v>483847.66000000003</v>
      </c>
      <c r="L23" s="317"/>
      <c r="M23" s="317"/>
      <c r="N23" s="317"/>
      <c r="O23" s="317"/>
      <c r="P23" s="317"/>
      <c r="Q23" s="317"/>
      <c r="R23" s="317"/>
      <c r="S23" s="317"/>
      <c r="T23" s="317"/>
      <c r="V23" s="96"/>
      <c r="W23" s="96" t="s">
        <v>217</v>
      </c>
      <c r="X23" s="96"/>
    </row>
    <row r="24" spans="1:29" s="249" customFormat="1" ht="17.100000000000001" customHeight="1" x14ac:dyDescent="0.2">
      <c r="A24" s="84">
        <v>684</v>
      </c>
      <c r="B24" s="287" t="s">
        <v>171</v>
      </c>
      <c r="C24" s="288">
        <v>70000</v>
      </c>
      <c r="D24" s="288">
        <v>7380</v>
      </c>
      <c r="E24" s="288"/>
      <c r="F24" s="288">
        <v>70000</v>
      </c>
      <c r="G24" s="247">
        <v>9909.75</v>
      </c>
      <c r="H24" s="247">
        <v>8889.25</v>
      </c>
      <c r="I24" s="247">
        <f>F24-G24-H24</f>
        <v>51201</v>
      </c>
      <c r="J24" s="247">
        <v>5000</v>
      </c>
      <c r="K24" s="265">
        <f>I24-J24</f>
        <v>46201</v>
      </c>
      <c r="L24" s="317"/>
      <c r="M24" s="317"/>
      <c r="N24" s="317"/>
      <c r="O24" s="317"/>
      <c r="P24" s="317"/>
      <c r="Q24" s="317"/>
      <c r="R24" s="317"/>
      <c r="S24" s="317"/>
      <c r="T24" s="317"/>
      <c r="V24" s="96"/>
      <c r="W24" s="96"/>
      <c r="X24" s="96"/>
    </row>
    <row r="25" spans="1:29" s="395" customFormat="1" ht="17.100000000000001" customHeight="1" x14ac:dyDescent="0.2">
      <c r="A25" s="84">
        <v>688</v>
      </c>
      <c r="B25" s="246" t="s">
        <v>179</v>
      </c>
      <c r="C25" s="288">
        <v>51000</v>
      </c>
      <c r="D25" s="288">
        <v>0</v>
      </c>
      <c r="E25" s="288"/>
      <c r="F25" s="288">
        <v>51000</v>
      </c>
      <c r="G25" s="247">
        <v>0</v>
      </c>
      <c r="H25" s="247">
        <v>51000</v>
      </c>
      <c r="I25" s="247">
        <f t="shared" ref="I25:I27" si="2">F25-G25-H25</f>
        <v>0</v>
      </c>
      <c r="J25" s="247">
        <v>0</v>
      </c>
      <c r="K25" s="265">
        <f t="shared" ref="K25:K27" si="3">I25-J25</f>
        <v>0</v>
      </c>
      <c r="L25" s="248"/>
      <c r="M25" s="247"/>
      <c r="N25" s="247"/>
      <c r="O25" s="247"/>
      <c r="P25" s="247"/>
      <c r="Q25" s="247"/>
      <c r="R25" s="247"/>
      <c r="S25" s="247"/>
      <c r="T25" s="247"/>
      <c r="V25" s="241"/>
      <c r="X25" s="241"/>
      <c r="Y25" s="278"/>
      <c r="AA25" s="272"/>
    </row>
    <row r="26" spans="1:29" s="395" customFormat="1" ht="17.100000000000001" customHeight="1" x14ac:dyDescent="0.2">
      <c r="A26" s="84">
        <v>689</v>
      </c>
      <c r="B26" s="246" t="s">
        <v>180</v>
      </c>
      <c r="C26" s="288">
        <v>150000</v>
      </c>
      <c r="D26" s="288">
        <v>0</v>
      </c>
      <c r="E26" s="288"/>
      <c r="F26" s="288">
        <v>150000</v>
      </c>
      <c r="G26" s="247">
        <v>0</v>
      </c>
      <c r="H26" s="247">
        <v>142031</v>
      </c>
      <c r="I26" s="247">
        <f t="shared" si="2"/>
        <v>7969</v>
      </c>
      <c r="J26" s="247">
        <v>0</v>
      </c>
      <c r="K26" s="265">
        <f t="shared" si="3"/>
        <v>7969</v>
      </c>
      <c r="L26" s="248"/>
      <c r="M26" s="247"/>
      <c r="N26" s="247"/>
      <c r="O26" s="247"/>
      <c r="P26" s="247"/>
      <c r="Q26" s="247"/>
      <c r="R26" s="247"/>
      <c r="S26" s="247"/>
      <c r="T26" s="247"/>
      <c r="V26" s="241"/>
      <c r="X26" s="241"/>
      <c r="Y26" s="278"/>
      <c r="AA26" s="272"/>
    </row>
    <row r="27" spans="1:29" s="395" customFormat="1" ht="17.100000000000001" customHeight="1" thickBot="1" x14ac:dyDescent="0.25">
      <c r="A27" s="121">
        <v>690</v>
      </c>
      <c r="B27" s="421" t="s">
        <v>181</v>
      </c>
      <c r="C27" s="420">
        <v>44000</v>
      </c>
      <c r="D27" s="420">
        <v>4374</v>
      </c>
      <c r="E27" s="420"/>
      <c r="F27" s="420">
        <v>44000</v>
      </c>
      <c r="G27" s="343">
        <v>4374</v>
      </c>
      <c r="H27" s="343">
        <v>39366</v>
      </c>
      <c r="I27" s="343">
        <f t="shared" si="2"/>
        <v>260</v>
      </c>
      <c r="J27" s="343">
        <v>260</v>
      </c>
      <c r="K27" s="349">
        <f t="shared" si="3"/>
        <v>0</v>
      </c>
      <c r="L27" s="248"/>
      <c r="M27" s="247"/>
      <c r="N27" s="247"/>
      <c r="O27" s="247"/>
      <c r="P27" s="247"/>
      <c r="Q27" s="247"/>
      <c r="R27" s="247"/>
      <c r="S27" s="247"/>
      <c r="T27" s="247"/>
      <c r="V27" s="241"/>
      <c r="X27" s="241"/>
      <c r="Y27" s="278"/>
      <c r="AA27" s="272"/>
    </row>
    <row r="28" spans="1:29" s="249" customFormat="1" ht="17.100000000000001" customHeight="1" x14ac:dyDescent="0.2">
      <c r="A28" s="120">
        <v>627</v>
      </c>
      <c r="B28" s="331" t="s">
        <v>32</v>
      </c>
      <c r="C28" s="330">
        <v>112629</v>
      </c>
      <c r="D28" s="330">
        <v>65471</v>
      </c>
      <c r="E28" s="332"/>
      <c r="F28" s="330">
        <v>112629</v>
      </c>
      <c r="G28" s="330">
        <v>81652</v>
      </c>
      <c r="H28" s="330">
        <v>26681</v>
      </c>
      <c r="I28" s="330">
        <f t="shared" si="0"/>
        <v>4296</v>
      </c>
      <c r="J28" s="330">
        <v>4296</v>
      </c>
      <c r="K28" s="266">
        <f t="shared" si="1"/>
        <v>0</v>
      </c>
      <c r="L28" s="248"/>
      <c r="M28" s="247"/>
      <c r="N28" s="247"/>
      <c r="O28" s="247"/>
      <c r="P28" s="247"/>
      <c r="Q28" s="247"/>
      <c r="R28" s="247"/>
      <c r="S28" s="247"/>
      <c r="T28" s="247">
        <f>SUM(L28:S28)</f>
        <v>0</v>
      </c>
      <c r="V28" s="96"/>
      <c r="W28" s="96"/>
      <c r="X28" s="96"/>
      <c r="Y28" s="272"/>
      <c r="Z28" s="272"/>
    </row>
    <row r="29" spans="1:29" ht="17.100000000000001" customHeight="1" x14ac:dyDescent="0.2">
      <c r="A29" s="84">
        <v>629</v>
      </c>
      <c r="B29" s="93" t="s">
        <v>16</v>
      </c>
      <c r="C29" s="232">
        <v>272789</v>
      </c>
      <c r="D29" s="232">
        <v>162394</v>
      </c>
      <c r="E29" s="232"/>
      <c r="F29" s="232">
        <v>272789</v>
      </c>
      <c r="G29" s="391">
        <v>172953</v>
      </c>
      <c r="H29" s="391">
        <v>92035</v>
      </c>
      <c r="I29" s="226">
        <f t="shared" si="0"/>
        <v>7801</v>
      </c>
      <c r="J29" s="226">
        <v>7801</v>
      </c>
      <c r="K29" s="233">
        <f t="shared" si="1"/>
        <v>0</v>
      </c>
      <c r="L29" s="231"/>
      <c r="M29" s="226"/>
      <c r="N29" s="226"/>
      <c r="O29" s="226"/>
      <c r="P29" s="226"/>
      <c r="Q29" s="226"/>
      <c r="R29" s="226"/>
      <c r="S29" s="226"/>
      <c r="T29" s="226">
        <f>SUM(L29:S29)</f>
        <v>0</v>
      </c>
      <c r="AA29" s="235"/>
    </row>
    <row r="30" spans="1:29" s="395" customFormat="1" ht="17.100000000000001" customHeight="1" x14ac:dyDescent="0.2">
      <c r="A30" s="84">
        <v>632</v>
      </c>
      <c r="B30" s="246" t="s">
        <v>126</v>
      </c>
      <c r="C30" s="288">
        <v>169400</v>
      </c>
      <c r="D30" s="288">
        <v>127045</v>
      </c>
      <c r="E30" s="288"/>
      <c r="F30" s="288">
        <v>169400</v>
      </c>
      <c r="G30" s="247">
        <v>143202</v>
      </c>
      <c r="H30" s="247">
        <v>42318</v>
      </c>
      <c r="I30" s="247">
        <f t="shared" si="0"/>
        <v>-16120</v>
      </c>
      <c r="J30" s="247">
        <v>-16120</v>
      </c>
      <c r="K30" s="265">
        <f t="shared" si="1"/>
        <v>0</v>
      </c>
      <c r="L30" s="248"/>
      <c r="M30" s="247"/>
      <c r="N30" s="247"/>
      <c r="O30" s="247"/>
      <c r="P30" s="247"/>
      <c r="Q30" s="247"/>
      <c r="R30" s="247"/>
      <c r="S30" s="247"/>
      <c r="T30" s="247">
        <f>SUM(L30:S30)</f>
        <v>0</v>
      </c>
      <c r="V30" s="96"/>
      <c r="W30" s="96"/>
      <c r="Y30" s="272"/>
    </row>
    <row r="31" spans="1:29" s="395" customFormat="1" ht="17.100000000000001" customHeight="1" x14ac:dyDescent="0.2">
      <c r="A31" s="84">
        <v>633</v>
      </c>
      <c r="B31" s="246" t="s">
        <v>37</v>
      </c>
      <c r="C31" s="288">
        <v>3881</v>
      </c>
      <c r="D31" s="288">
        <v>0</v>
      </c>
      <c r="E31" s="288"/>
      <c r="F31" s="288">
        <v>3881</v>
      </c>
      <c r="G31" s="247">
        <v>0</v>
      </c>
      <c r="H31" s="247">
        <v>0</v>
      </c>
      <c r="I31" s="247">
        <f t="shared" si="0"/>
        <v>3881</v>
      </c>
      <c r="J31" s="247">
        <v>3881</v>
      </c>
      <c r="K31" s="265">
        <f t="shared" si="1"/>
        <v>0</v>
      </c>
      <c r="L31" s="248"/>
      <c r="M31" s="247"/>
      <c r="N31" s="247"/>
      <c r="O31" s="247"/>
      <c r="P31" s="247"/>
      <c r="Q31" s="247"/>
      <c r="R31" s="247"/>
      <c r="S31" s="247"/>
      <c r="T31" s="247">
        <f>SUM(L31:S31)</f>
        <v>0</v>
      </c>
      <c r="V31" s="96"/>
      <c r="W31" s="96"/>
      <c r="X31" s="96"/>
    </row>
    <row r="32" spans="1:29" s="377" customFormat="1" ht="17.100000000000001" customHeight="1" x14ac:dyDescent="0.2">
      <c r="A32" s="84">
        <v>639</v>
      </c>
      <c r="B32" s="246" t="s">
        <v>197</v>
      </c>
      <c r="C32" s="288">
        <v>200966</v>
      </c>
      <c r="D32" s="288">
        <v>148196</v>
      </c>
      <c r="E32" s="288"/>
      <c r="F32" s="288">
        <v>200966</v>
      </c>
      <c r="G32" s="247">
        <v>154502</v>
      </c>
      <c r="H32" s="247">
        <v>46456</v>
      </c>
      <c r="I32" s="247">
        <f t="shared" si="0"/>
        <v>8</v>
      </c>
      <c r="J32" s="247">
        <v>8</v>
      </c>
      <c r="K32" s="265">
        <f t="shared" si="1"/>
        <v>0</v>
      </c>
      <c r="L32" s="248"/>
      <c r="M32" s="247"/>
      <c r="N32" s="385"/>
      <c r="O32" s="385"/>
      <c r="P32" s="385"/>
      <c r="Q32" s="385"/>
      <c r="R32" s="385"/>
      <c r="S32" s="385"/>
      <c r="T32" s="247">
        <f>SUM(L32:S32)</f>
        <v>0</v>
      </c>
      <c r="V32" s="96"/>
      <c r="W32" s="241"/>
      <c r="X32" s="241"/>
      <c r="Y32" s="272"/>
      <c r="Z32" s="272"/>
      <c r="AB32" s="386"/>
      <c r="AC32" s="272"/>
    </row>
    <row r="33" spans="1:36" ht="17.100000000000001" customHeight="1" x14ac:dyDescent="0.2">
      <c r="A33" s="84">
        <v>644</v>
      </c>
      <c r="B33" s="93" t="s">
        <v>110</v>
      </c>
      <c r="C33" s="232">
        <v>500</v>
      </c>
      <c r="D33" s="232">
        <v>500</v>
      </c>
      <c r="E33" s="232">
        <f>C33-F33</f>
        <v>335</v>
      </c>
      <c r="F33" s="232">
        <v>165</v>
      </c>
      <c r="G33" s="391">
        <v>0</v>
      </c>
      <c r="H33" s="391">
        <v>0</v>
      </c>
      <c r="I33" s="226">
        <f t="shared" si="0"/>
        <v>165</v>
      </c>
      <c r="J33" s="226">
        <v>165</v>
      </c>
      <c r="K33" s="233">
        <f t="shared" si="1"/>
        <v>0</v>
      </c>
      <c r="L33" s="231"/>
      <c r="M33" s="226"/>
      <c r="N33" s="220"/>
      <c r="O33" s="220"/>
      <c r="P33" s="220"/>
      <c r="Q33" s="220"/>
      <c r="R33" s="220"/>
      <c r="S33" s="220"/>
      <c r="T33" s="226"/>
      <c r="W33" s="241"/>
      <c r="X33" s="241"/>
    </row>
    <row r="34" spans="1:36" ht="17.100000000000001" customHeight="1" x14ac:dyDescent="0.2">
      <c r="A34" s="84">
        <v>646</v>
      </c>
      <c r="B34" s="246" t="s">
        <v>121</v>
      </c>
      <c r="C34" s="232">
        <v>13936</v>
      </c>
      <c r="D34" s="232">
        <v>13936</v>
      </c>
      <c r="E34" s="232"/>
      <c r="F34" s="232">
        <v>13936</v>
      </c>
      <c r="G34" s="391">
        <v>978.17</v>
      </c>
      <c r="H34" s="391">
        <v>43.4</v>
      </c>
      <c r="I34" s="226">
        <f>F34-G34-H34</f>
        <v>12914.43</v>
      </c>
      <c r="J34" s="226">
        <v>1000</v>
      </c>
      <c r="K34" s="233">
        <f>I34-J34</f>
        <v>11914.43</v>
      </c>
      <c r="L34" s="231"/>
      <c r="M34" s="226"/>
      <c r="N34" s="226"/>
      <c r="O34" s="226"/>
      <c r="P34" s="226"/>
      <c r="Q34" s="226"/>
      <c r="R34" s="226"/>
      <c r="S34" s="226"/>
      <c r="T34" s="226"/>
    </row>
    <row r="35" spans="1:36" s="395" customFormat="1" ht="17.100000000000001" customHeight="1" x14ac:dyDescent="0.2">
      <c r="A35" s="84">
        <v>656</v>
      </c>
      <c r="B35" s="246" t="s">
        <v>38</v>
      </c>
      <c r="C35" s="288">
        <v>477151</v>
      </c>
      <c r="D35" s="288">
        <v>0</v>
      </c>
      <c r="E35" s="288"/>
      <c r="F35" s="288">
        <v>477151</v>
      </c>
      <c r="G35" s="247">
        <v>363073</v>
      </c>
      <c r="H35" s="247">
        <v>178188</v>
      </c>
      <c r="I35" s="247">
        <f t="shared" si="0"/>
        <v>-64110</v>
      </c>
      <c r="J35" s="247">
        <v>-64110</v>
      </c>
      <c r="K35" s="265">
        <f t="shared" si="1"/>
        <v>0</v>
      </c>
      <c r="L35" s="248"/>
      <c r="M35" s="247"/>
      <c r="N35" s="247"/>
      <c r="O35" s="247"/>
      <c r="P35" s="247"/>
      <c r="Q35" s="247"/>
      <c r="R35" s="247"/>
      <c r="S35" s="247"/>
      <c r="T35" s="247"/>
      <c r="V35" s="96"/>
      <c r="W35" s="96"/>
      <c r="AJ35" s="272"/>
    </row>
    <row r="36" spans="1:36" s="390" customFormat="1" ht="17.100000000000001" customHeight="1" x14ac:dyDescent="0.2">
      <c r="A36" s="408">
        <v>658</v>
      </c>
      <c r="B36" s="246" t="s">
        <v>18</v>
      </c>
      <c r="C36" s="288">
        <v>14737</v>
      </c>
      <c r="D36" s="288">
        <v>0</v>
      </c>
      <c r="E36" s="288"/>
      <c r="F36" s="288">
        <v>14737</v>
      </c>
      <c r="G36" s="247">
        <v>14737</v>
      </c>
      <c r="H36" s="247">
        <v>0</v>
      </c>
      <c r="I36" s="247">
        <f>F36-G36-H36</f>
        <v>0</v>
      </c>
      <c r="J36" s="247">
        <v>0</v>
      </c>
      <c r="K36" s="265">
        <f t="shared" si="1"/>
        <v>0</v>
      </c>
      <c r="L36" s="248"/>
      <c r="M36" s="247"/>
      <c r="N36" s="247"/>
      <c r="O36" s="247"/>
      <c r="P36" s="247"/>
      <c r="Q36" s="247"/>
      <c r="R36" s="247"/>
      <c r="S36" s="247"/>
      <c r="T36" s="247">
        <f>SUM(L36:S36)</f>
        <v>0</v>
      </c>
      <c r="V36" s="96"/>
      <c r="W36" s="96"/>
      <c r="X36" s="241"/>
    </row>
    <row r="37" spans="1:36" s="390" customFormat="1" ht="17.100000000000001" customHeight="1" x14ac:dyDescent="0.2">
      <c r="A37" s="84">
        <v>662</v>
      </c>
      <c r="B37" s="246" t="s">
        <v>68</v>
      </c>
      <c r="C37" s="288">
        <v>1950</v>
      </c>
      <c r="D37" s="288">
        <v>1950</v>
      </c>
      <c r="E37" s="288"/>
      <c r="F37" s="288">
        <v>1950</v>
      </c>
      <c r="G37" s="247">
        <v>1950</v>
      </c>
      <c r="H37" s="247">
        <v>0</v>
      </c>
      <c r="I37" s="247">
        <f t="shared" si="0"/>
        <v>0</v>
      </c>
      <c r="J37" s="247">
        <v>0</v>
      </c>
      <c r="K37" s="265">
        <f t="shared" si="1"/>
        <v>0</v>
      </c>
      <c r="L37" s="248"/>
      <c r="M37" s="247"/>
      <c r="N37" s="247"/>
      <c r="O37" s="247"/>
      <c r="P37" s="247"/>
      <c r="Q37" s="247"/>
      <c r="R37" s="247"/>
      <c r="S37" s="247"/>
      <c r="T37" s="247"/>
      <c r="V37" s="241"/>
      <c r="W37" s="96"/>
      <c r="X37" s="96"/>
    </row>
    <row r="38" spans="1:36" s="249" customFormat="1" ht="17.100000000000001" customHeight="1" x14ac:dyDescent="0.2">
      <c r="A38" s="84">
        <v>665</v>
      </c>
      <c r="B38" s="246" t="s">
        <v>135</v>
      </c>
      <c r="C38" s="288">
        <v>13249</v>
      </c>
      <c r="D38" s="288">
        <v>0</v>
      </c>
      <c r="E38" s="288"/>
      <c r="F38" s="288">
        <v>13249</v>
      </c>
      <c r="G38" s="391">
        <v>0</v>
      </c>
      <c r="H38" s="391">
        <v>13249</v>
      </c>
      <c r="I38" s="247">
        <f t="shared" si="0"/>
        <v>0</v>
      </c>
      <c r="J38" s="247">
        <v>0</v>
      </c>
      <c r="K38" s="265">
        <f t="shared" si="1"/>
        <v>0</v>
      </c>
      <c r="L38" s="248"/>
      <c r="M38" s="247"/>
      <c r="N38" s="247"/>
      <c r="O38" s="247"/>
      <c r="P38" s="247"/>
      <c r="Q38" s="247"/>
      <c r="R38" s="247"/>
      <c r="S38" s="247"/>
      <c r="T38" s="247"/>
      <c r="V38" s="241"/>
      <c r="W38" s="204"/>
      <c r="X38" s="204"/>
    </row>
    <row r="39" spans="1:36" ht="17.100000000000001" customHeight="1" x14ac:dyDescent="0.2">
      <c r="A39" s="84">
        <v>676</v>
      </c>
      <c r="B39" s="246" t="s">
        <v>136</v>
      </c>
      <c r="C39" s="232">
        <v>1000</v>
      </c>
      <c r="D39" s="232">
        <v>1000</v>
      </c>
      <c r="E39" s="232">
        <v>18</v>
      </c>
      <c r="F39" s="232">
        <v>982</v>
      </c>
      <c r="G39" s="391">
        <v>0</v>
      </c>
      <c r="H39" s="391">
        <v>0</v>
      </c>
      <c r="I39" s="226">
        <f t="shared" si="0"/>
        <v>982</v>
      </c>
      <c r="J39" s="226">
        <v>0</v>
      </c>
      <c r="K39" s="233">
        <f t="shared" si="1"/>
        <v>982</v>
      </c>
      <c r="L39" s="231">
        <f t="shared" ref="L39:T39" si="4">SUM(L6:L38)</f>
        <v>3201</v>
      </c>
      <c r="M39" s="226">
        <f t="shared" si="4"/>
        <v>0</v>
      </c>
      <c r="N39" s="226">
        <f t="shared" si="4"/>
        <v>2853</v>
      </c>
      <c r="O39" s="226">
        <f t="shared" si="4"/>
        <v>0</v>
      </c>
      <c r="P39" s="226">
        <f t="shared" si="4"/>
        <v>0</v>
      </c>
      <c r="Q39" s="226">
        <f t="shared" si="4"/>
        <v>0</v>
      </c>
      <c r="R39" s="226">
        <f t="shared" si="4"/>
        <v>0</v>
      </c>
      <c r="S39" s="226">
        <f t="shared" si="4"/>
        <v>0</v>
      </c>
      <c r="T39" s="226">
        <f t="shared" si="4"/>
        <v>6054</v>
      </c>
    </row>
    <row r="40" spans="1:36" ht="17.100000000000001" customHeight="1" x14ac:dyDescent="0.2">
      <c r="A40" s="84">
        <v>678</v>
      </c>
      <c r="B40" s="246" t="s">
        <v>168</v>
      </c>
      <c r="C40" s="232">
        <v>40699</v>
      </c>
      <c r="D40" s="232">
        <v>0</v>
      </c>
      <c r="E40" s="232"/>
      <c r="F40" s="232">
        <v>40699</v>
      </c>
      <c r="G40" s="391">
        <v>0</v>
      </c>
      <c r="H40" s="391">
        <v>40698.78</v>
      </c>
      <c r="I40" s="391">
        <v>0</v>
      </c>
      <c r="J40" s="226">
        <v>0</v>
      </c>
      <c r="K40" s="233">
        <f t="shared" ref="K40" si="5">I40-J40</f>
        <v>0</v>
      </c>
      <c r="L40" s="359"/>
      <c r="M40" s="359"/>
      <c r="N40" s="359"/>
      <c r="O40" s="359"/>
      <c r="P40" s="359"/>
      <c r="Q40" s="359"/>
      <c r="R40" s="359"/>
      <c r="S40" s="359"/>
      <c r="T40" s="359"/>
    </row>
    <row r="41" spans="1:36" s="249" customFormat="1" ht="17.100000000000001" customHeight="1" x14ac:dyDescent="0.2">
      <c r="A41" s="84">
        <v>680</v>
      </c>
      <c r="B41" s="287" t="s">
        <v>137</v>
      </c>
      <c r="C41" s="288">
        <v>27840</v>
      </c>
      <c r="D41" s="288">
        <v>23152</v>
      </c>
      <c r="E41" s="288">
        <v>0</v>
      </c>
      <c r="F41" s="288">
        <v>27840</v>
      </c>
      <c r="G41" s="247">
        <v>0</v>
      </c>
      <c r="H41" s="247">
        <v>16960</v>
      </c>
      <c r="I41" s="247">
        <f t="shared" ref="I41" si="6">F41-G41-H41</f>
        <v>10880</v>
      </c>
      <c r="J41" s="247">
        <v>10880</v>
      </c>
      <c r="K41" s="265">
        <f t="shared" ref="K41" si="7">I41-J41</f>
        <v>0</v>
      </c>
      <c r="L41" s="317"/>
      <c r="M41" s="317"/>
      <c r="N41" s="317"/>
      <c r="O41" s="317"/>
      <c r="P41" s="317"/>
      <c r="Q41" s="317"/>
      <c r="R41" s="317"/>
      <c r="S41" s="317"/>
      <c r="T41" s="317"/>
      <c r="V41" s="96"/>
      <c r="W41" s="96"/>
      <c r="X41" s="96"/>
    </row>
    <row r="42" spans="1:36" s="395" customFormat="1" ht="17.100000000000001" customHeight="1" x14ac:dyDescent="0.2">
      <c r="A42" s="84">
        <v>681</v>
      </c>
      <c r="B42" s="287" t="s">
        <v>192</v>
      </c>
      <c r="C42" s="288">
        <v>1050</v>
      </c>
      <c r="D42" s="288">
        <v>1050</v>
      </c>
      <c r="E42" s="288"/>
      <c r="F42" s="288">
        <v>1050</v>
      </c>
      <c r="G42" s="247">
        <v>1050</v>
      </c>
      <c r="H42" s="247">
        <v>0</v>
      </c>
      <c r="I42" s="247">
        <f t="shared" ref="I42" si="8">F42-G42-H42</f>
        <v>0</v>
      </c>
      <c r="J42" s="247">
        <v>0</v>
      </c>
      <c r="K42" s="265">
        <f t="shared" ref="K42" si="9">I42-J42</f>
        <v>0</v>
      </c>
      <c r="L42" s="317"/>
      <c r="M42" s="317"/>
      <c r="N42" s="317"/>
      <c r="O42" s="317"/>
      <c r="P42" s="317"/>
      <c r="Q42" s="317"/>
      <c r="R42" s="317"/>
      <c r="S42" s="317"/>
      <c r="T42" s="317"/>
      <c r="V42" s="96"/>
      <c r="W42" s="96"/>
      <c r="X42" s="96"/>
    </row>
    <row r="43" spans="1:36" s="249" customFormat="1" ht="17.100000000000001" customHeight="1" x14ac:dyDescent="0.2">
      <c r="A43" s="84">
        <v>683</v>
      </c>
      <c r="B43" s="287" t="s">
        <v>170</v>
      </c>
      <c r="C43" s="288">
        <v>7550</v>
      </c>
      <c r="D43" s="288">
        <v>0</v>
      </c>
      <c r="E43" s="288">
        <v>0</v>
      </c>
      <c r="F43" s="288">
        <v>7550</v>
      </c>
      <c r="G43" s="247">
        <v>0</v>
      </c>
      <c r="H43" s="247">
        <v>0</v>
      </c>
      <c r="I43" s="247">
        <f t="shared" ref="I43:I44" si="10">F43-G43-H43</f>
        <v>7550</v>
      </c>
      <c r="J43" s="247">
        <v>7550</v>
      </c>
      <c r="K43" s="265">
        <f t="shared" ref="K43:K45" si="11">I43-J43</f>
        <v>0</v>
      </c>
      <c r="L43" s="317"/>
      <c r="M43" s="317"/>
      <c r="N43" s="317"/>
      <c r="O43" s="317"/>
      <c r="P43" s="317"/>
      <c r="Q43" s="317"/>
      <c r="R43" s="317"/>
      <c r="S43" s="317"/>
      <c r="T43" s="317"/>
      <c r="V43" s="96"/>
      <c r="W43" s="96"/>
      <c r="X43" s="96"/>
    </row>
    <row r="44" spans="1:36" s="249" customFormat="1" ht="17.100000000000001" customHeight="1" x14ac:dyDescent="0.2">
      <c r="A44" s="84">
        <v>685</v>
      </c>
      <c r="B44" s="287" t="s">
        <v>172</v>
      </c>
      <c r="C44" s="288">
        <v>29994</v>
      </c>
      <c r="D44" s="288">
        <v>0</v>
      </c>
      <c r="E44" s="288">
        <v>0</v>
      </c>
      <c r="F44" s="288">
        <v>29994</v>
      </c>
      <c r="G44" s="247">
        <v>0</v>
      </c>
      <c r="H44" s="247">
        <v>0</v>
      </c>
      <c r="I44" s="247">
        <f t="shared" si="10"/>
        <v>29994</v>
      </c>
      <c r="J44" s="247">
        <v>29994</v>
      </c>
      <c r="K44" s="265">
        <f t="shared" si="11"/>
        <v>0</v>
      </c>
      <c r="L44" s="317"/>
      <c r="M44" s="317"/>
      <c r="N44" s="317"/>
      <c r="O44" s="317"/>
      <c r="P44" s="317"/>
      <c r="Q44" s="317"/>
      <c r="R44" s="317"/>
      <c r="S44" s="317"/>
      <c r="T44" s="317"/>
      <c r="V44" s="96"/>
      <c r="W44" s="96"/>
      <c r="X44" s="96"/>
    </row>
    <row r="45" spans="1:36" s="249" customFormat="1" ht="17.100000000000001" customHeight="1" x14ac:dyDescent="0.2">
      <c r="A45" s="84">
        <v>686</v>
      </c>
      <c r="B45" s="287" t="s">
        <v>173</v>
      </c>
      <c r="C45" s="288">
        <v>10579</v>
      </c>
      <c r="D45" s="288">
        <v>10579</v>
      </c>
      <c r="E45" s="288">
        <v>0</v>
      </c>
      <c r="F45" s="288">
        <v>10579</v>
      </c>
      <c r="G45" s="247">
        <v>10579</v>
      </c>
      <c r="H45" s="247">
        <v>0</v>
      </c>
      <c r="I45" s="247">
        <v>0</v>
      </c>
      <c r="J45" s="247">
        <v>0</v>
      </c>
      <c r="K45" s="265">
        <f t="shared" si="11"/>
        <v>0</v>
      </c>
      <c r="L45" s="317"/>
      <c r="M45" s="317"/>
      <c r="N45" s="317"/>
      <c r="O45" s="317"/>
      <c r="P45" s="317"/>
      <c r="Q45" s="317"/>
      <c r="R45" s="317"/>
      <c r="S45" s="317"/>
      <c r="T45" s="317"/>
      <c r="V45" s="96"/>
      <c r="W45" s="96"/>
      <c r="X45" s="96"/>
    </row>
    <row r="46" spans="1:36" ht="6" customHeight="1" thickBot="1" x14ac:dyDescent="0.25">
      <c r="A46" s="456"/>
      <c r="B46" s="457"/>
      <c r="C46" s="457"/>
      <c r="D46" s="457"/>
      <c r="E46" s="457"/>
      <c r="F46" s="458"/>
      <c r="G46" s="458"/>
      <c r="H46" s="459" t="s">
        <v>116</v>
      </c>
      <c r="I46" s="458"/>
      <c r="J46" s="458"/>
      <c r="K46" s="460"/>
      <c r="L46" s="239">
        <v>1</v>
      </c>
      <c r="M46" s="239">
        <v>2</v>
      </c>
      <c r="N46" s="239">
        <v>3</v>
      </c>
      <c r="O46" s="239">
        <v>4</v>
      </c>
      <c r="P46" s="239">
        <v>5</v>
      </c>
      <c r="Q46" s="239">
        <v>6</v>
      </c>
      <c r="R46" s="239">
        <v>7</v>
      </c>
      <c r="S46" s="239">
        <v>8</v>
      </c>
      <c r="T46" s="239"/>
      <c r="U46" s="235">
        <f>SUM(L39:S39)</f>
        <v>6054</v>
      </c>
    </row>
    <row r="47" spans="1:36" ht="15.95" customHeight="1" thickBot="1" x14ac:dyDescent="0.25">
      <c r="A47" s="216"/>
      <c r="B47" s="236" t="s">
        <v>128</v>
      </c>
      <c r="C47" s="237">
        <f t="shared" ref="C47:K47" si="12">SUM(C6:C46)</f>
        <v>3940565</v>
      </c>
      <c r="D47" s="237">
        <f t="shared" si="12"/>
        <v>2262864</v>
      </c>
      <c r="E47" s="237">
        <f t="shared" si="12"/>
        <v>576222</v>
      </c>
      <c r="F47" s="237">
        <f t="shared" si="12"/>
        <v>3364642</v>
      </c>
      <c r="G47" s="237">
        <f t="shared" si="12"/>
        <v>1471772.14</v>
      </c>
      <c r="H47" s="237">
        <f t="shared" si="12"/>
        <v>907196.75</v>
      </c>
      <c r="I47" s="237">
        <f t="shared" si="12"/>
        <v>985672.89000000013</v>
      </c>
      <c r="J47" s="237">
        <f t="shared" si="12"/>
        <v>295851</v>
      </c>
      <c r="K47" s="238">
        <f t="shared" si="12"/>
        <v>689821.89000000013</v>
      </c>
    </row>
    <row r="48" spans="1:36" ht="13.5" thickTop="1" x14ac:dyDescent="0.2">
      <c r="B48" s="259" t="s">
        <v>117</v>
      </c>
      <c r="K48" s="219"/>
      <c r="T48" s="204"/>
      <c r="U48" s="96"/>
      <c r="V48" s="204"/>
    </row>
    <row r="49" spans="1:24" x14ac:dyDescent="0.2">
      <c r="F49" s="219"/>
      <c r="G49" s="251"/>
      <c r="J49" s="219"/>
      <c r="K49" s="219"/>
      <c r="T49" s="204"/>
      <c r="U49" s="96"/>
      <c r="X49" s="204"/>
    </row>
    <row r="50" spans="1:24" x14ac:dyDescent="0.2">
      <c r="B50" s="249"/>
      <c r="D50" s="240"/>
      <c r="F50" s="240"/>
      <c r="G50" s="240"/>
      <c r="I50" s="240"/>
      <c r="J50" s="219"/>
      <c r="K50" s="219"/>
      <c r="S50" s="204"/>
      <c r="T50" s="96"/>
      <c r="U50" s="96"/>
      <c r="W50" s="204"/>
      <c r="X50" s="204"/>
    </row>
    <row r="51" spans="1:24" x14ac:dyDescent="0.2">
      <c r="A51" s="72">
        <v>692</v>
      </c>
      <c r="B51" s="395" t="s">
        <v>204</v>
      </c>
      <c r="J51" s="219"/>
      <c r="K51" s="219"/>
      <c r="S51" s="204"/>
      <c r="T51" s="96"/>
      <c r="U51" s="96"/>
      <c r="W51" s="204"/>
      <c r="X51" s="204"/>
    </row>
    <row r="52" spans="1:24" x14ac:dyDescent="0.2">
      <c r="A52" s="72">
        <v>693</v>
      </c>
      <c r="B52" s="395" t="s">
        <v>205</v>
      </c>
      <c r="J52" s="219"/>
      <c r="K52" s="219"/>
      <c r="S52" s="204"/>
      <c r="T52" s="96"/>
      <c r="U52" s="96"/>
      <c r="W52" s="204"/>
      <c r="X52" s="204"/>
    </row>
    <row r="53" spans="1:24" x14ac:dyDescent="0.2">
      <c r="J53" s="219"/>
      <c r="K53" s="219"/>
      <c r="S53" s="204"/>
      <c r="T53" s="96"/>
      <c r="U53" s="96"/>
      <c r="W53" s="204"/>
      <c r="X53" s="204"/>
    </row>
    <row r="54" spans="1:24" x14ac:dyDescent="0.2">
      <c r="J54" s="219"/>
      <c r="K54" s="219"/>
      <c r="S54" s="204"/>
      <c r="T54" s="96"/>
      <c r="U54" s="96"/>
      <c r="W54" s="204"/>
      <c r="X54" s="204"/>
    </row>
    <row r="55" spans="1:24" x14ac:dyDescent="0.2">
      <c r="J55" s="219"/>
      <c r="K55" s="219"/>
      <c r="S55" s="204"/>
      <c r="T55" s="96"/>
      <c r="U55" s="96"/>
      <c r="W55" s="204"/>
      <c r="X55" s="204"/>
    </row>
    <row r="56" spans="1:24" x14ac:dyDescent="0.2">
      <c r="J56" s="219"/>
      <c r="K56" s="219"/>
      <c r="S56" s="204"/>
      <c r="T56" s="96"/>
      <c r="U56" s="96"/>
      <c r="W56" s="204"/>
      <c r="X56" s="204"/>
    </row>
    <row r="57" spans="1:24" x14ac:dyDescent="0.2">
      <c r="J57" s="219"/>
      <c r="K57" s="219"/>
      <c r="S57" s="204"/>
      <c r="T57" s="96"/>
      <c r="U57" s="96"/>
      <c r="W57" s="204"/>
      <c r="X57" s="204"/>
    </row>
    <row r="58" spans="1:24" x14ac:dyDescent="0.2">
      <c r="J58" s="219"/>
      <c r="K58" s="219"/>
      <c r="S58" s="204"/>
      <c r="T58" s="96"/>
      <c r="U58" s="96"/>
      <c r="W58" s="204"/>
      <c r="X58" s="204"/>
    </row>
    <row r="59" spans="1:24" x14ac:dyDescent="0.2">
      <c r="J59" s="219"/>
      <c r="K59" s="219"/>
      <c r="S59" s="204"/>
      <c r="T59" s="96"/>
      <c r="U59" s="96"/>
      <c r="W59" s="204"/>
      <c r="X59" s="204"/>
    </row>
    <row r="60" spans="1:24" x14ac:dyDescent="0.2">
      <c r="J60" s="219"/>
      <c r="K60" s="219"/>
      <c r="S60" s="204"/>
      <c r="T60" s="96"/>
      <c r="U60" s="96"/>
      <c r="W60" s="204"/>
      <c r="X60" s="204"/>
    </row>
    <row r="61" spans="1:24" x14ac:dyDescent="0.2">
      <c r="J61" s="219"/>
      <c r="K61" s="219"/>
      <c r="S61" s="204"/>
      <c r="T61" s="96"/>
      <c r="U61" s="96"/>
      <c r="W61" s="204"/>
      <c r="X61" s="204"/>
    </row>
    <row r="62" spans="1:24" x14ac:dyDescent="0.2">
      <c r="J62" s="219"/>
      <c r="K62" s="219"/>
      <c r="S62" s="204"/>
      <c r="T62" s="96"/>
      <c r="U62" s="96"/>
      <c r="W62" s="204"/>
      <c r="X62" s="204"/>
    </row>
    <row r="63" spans="1:24" x14ac:dyDescent="0.2">
      <c r="J63" s="219"/>
      <c r="K63" s="219"/>
      <c r="S63" s="204"/>
      <c r="T63" s="96"/>
      <c r="U63" s="96"/>
      <c r="W63" s="204"/>
      <c r="X63" s="204"/>
    </row>
    <row r="64" spans="1:24" x14ac:dyDescent="0.2">
      <c r="J64" s="219"/>
      <c r="K64" s="219"/>
      <c r="S64" s="204"/>
      <c r="T64" s="96"/>
      <c r="U64" s="96"/>
      <c r="W64" s="204"/>
      <c r="X64" s="204"/>
    </row>
    <row r="65" spans="10:24" x14ac:dyDescent="0.2">
      <c r="J65" s="219"/>
      <c r="K65" s="219"/>
      <c r="S65" s="204"/>
      <c r="T65" s="96"/>
      <c r="U65" s="96"/>
      <c r="W65" s="204"/>
      <c r="X65" s="204"/>
    </row>
    <row r="66" spans="10:24" x14ac:dyDescent="0.2">
      <c r="J66" s="219"/>
      <c r="K66" s="219"/>
      <c r="S66" s="204"/>
      <c r="T66" s="96"/>
      <c r="U66" s="96"/>
      <c r="W66" s="204"/>
      <c r="X66" s="204"/>
    </row>
    <row r="67" spans="10:24" x14ac:dyDescent="0.2">
      <c r="J67" s="219"/>
      <c r="K67" s="219"/>
      <c r="S67" s="204"/>
      <c r="T67" s="96"/>
      <c r="U67" s="96"/>
      <c r="W67" s="204"/>
      <c r="X67" s="204"/>
    </row>
    <row r="68" spans="10:24" x14ac:dyDescent="0.2">
      <c r="J68" s="219"/>
      <c r="K68" s="219"/>
      <c r="S68" s="204"/>
      <c r="T68" s="96"/>
      <c r="U68" s="96"/>
      <c r="W68" s="204"/>
      <c r="X68" s="204"/>
    </row>
  </sheetData>
  <mergeCells count="2">
    <mergeCell ref="A1:K1"/>
    <mergeCell ref="A3:K3"/>
  </mergeCells>
  <phoneticPr fontId="13" type="noConversion"/>
  <printOptions horizontalCentered="1" verticalCentered="1"/>
  <pageMargins left="0" right="0" top="0.25" bottom="0" header="0.5" footer="0.5"/>
  <pageSetup scale="75" orientation="landscape" copies="4" r:id="rId1"/>
  <headerFooter alignWithMargins="0"/>
  <colBreaks count="1" manualBreakCount="1">
    <brk id="2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5" workbookViewId="0">
      <pane ySplit="1140" activePane="bottomLeft"/>
      <selection activeCell="A5" sqref="A1:XFD1048576"/>
      <selection pane="bottomLeft" activeCell="J15" sqref="J15"/>
    </sheetView>
  </sheetViews>
  <sheetFormatPr defaultRowHeight="12.75" x14ac:dyDescent="0.2"/>
  <cols>
    <col min="1" max="1" width="39.7109375" customWidth="1"/>
    <col min="2" max="5" width="14.7109375" customWidth="1"/>
    <col min="10" max="10" width="11.28515625" bestFit="1" customWidth="1"/>
  </cols>
  <sheetData>
    <row r="1" spans="1:7" ht="20.25" x14ac:dyDescent="0.3">
      <c r="A1" s="566" t="s">
        <v>25</v>
      </c>
      <c r="B1" s="562"/>
      <c r="C1" s="562"/>
      <c r="D1" s="562"/>
      <c r="E1" s="562"/>
    </row>
    <row r="2" spans="1:7" ht="20.25" x14ac:dyDescent="0.3">
      <c r="A2" s="357"/>
      <c r="B2" s="131"/>
      <c r="C2" s="131"/>
      <c r="D2" s="131"/>
      <c r="E2" s="131"/>
    </row>
    <row r="3" spans="1:7" ht="15.75" x14ac:dyDescent="0.25">
      <c r="A3" s="564" t="s">
        <v>196</v>
      </c>
      <c r="B3" s="567"/>
      <c r="C3" s="567"/>
      <c r="D3" s="567"/>
      <c r="E3" s="567"/>
    </row>
    <row r="4" spans="1:7" x14ac:dyDescent="0.2">
      <c r="A4" s="568" t="s">
        <v>210</v>
      </c>
      <c r="B4" s="562"/>
      <c r="C4" s="562"/>
      <c r="D4" s="562"/>
      <c r="E4" s="562"/>
    </row>
    <row r="5" spans="1:7" ht="15.75" thickBot="1" x14ac:dyDescent="0.25">
      <c r="A5" s="358"/>
      <c r="B5" s="358"/>
      <c r="C5" s="358"/>
      <c r="D5" s="358"/>
      <c r="E5" s="358"/>
    </row>
    <row r="6" spans="1:7" ht="30.75" thickBot="1" x14ac:dyDescent="0.3">
      <c r="A6" s="428" t="s">
        <v>1</v>
      </c>
      <c r="B6" s="429" t="s">
        <v>150</v>
      </c>
      <c r="C6" s="430" t="s">
        <v>151</v>
      </c>
      <c r="D6" s="430" t="s">
        <v>107</v>
      </c>
      <c r="E6" s="461" t="s">
        <v>176</v>
      </c>
    </row>
    <row r="7" spans="1:7" ht="15" x14ac:dyDescent="0.25">
      <c r="A7" s="335"/>
      <c r="B7" s="336"/>
      <c r="C7" s="336"/>
      <c r="D7" s="336"/>
      <c r="E7" s="337"/>
    </row>
    <row r="8" spans="1:7" x14ac:dyDescent="0.2">
      <c r="A8" s="338" t="s">
        <v>152</v>
      </c>
      <c r="B8" s="249"/>
      <c r="E8" s="100"/>
    </row>
    <row r="9" spans="1:7" x14ac:dyDescent="0.2">
      <c r="A9" s="276" t="s">
        <v>153</v>
      </c>
      <c r="B9" s="363">
        <v>11800</v>
      </c>
      <c r="C9" s="572">
        <v>7839</v>
      </c>
      <c r="D9" s="573">
        <v>3000</v>
      </c>
      <c r="E9" s="339">
        <f t="shared" ref="E9:E12" si="0">D9+C9</f>
        <v>10839</v>
      </c>
    </row>
    <row r="10" spans="1:7" x14ac:dyDescent="0.2">
      <c r="A10" s="276" t="s">
        <v>154</v>
      </c>
      <c r="B10" s="317">
        <v>501000</v>
      </c>
      <c r="C10" s="330">
        <f>280241+62720</f>
        <v>342961</v>
      </c>
      <c r="D10" s="574">
        <f t="shared" ref="D10:D11" si="1">B10-C10</f>
        <v>158039</v>
      </c>
      <c r="E10" s="340">
        <f t="shared" si="0"/>
        <v>501000</v>
      </c>
    </row>
    <row r="11" spans="1:7" x14ac:dyDescent="0.2">
      <c r="A11" s="276" t="s">
        <v>155</v>
      </c>
      <c r="B11" s="247">
        <v>25000</v>
      </c>
      <c r="C11" s="247">
        <v>12094</v>
      </c>
      <c r="D11" s="574">
        <f t="shared" si="1"/>
        <v>12906</v>
      </c>
      <c r="E11" s="340">
        <f t="shared" si="0"/>
        <v>25000</v>
      </c>
    </row>
    <row r="12" spans="1:7" x14ac:dyDescent="0.2">
      <c r="A12" s="276" t="s">
        <v>156</v>
      </c>
      <c r="B12" s="247">
        <v>16000</v>
      </c>
      <c r="C12" s="247">
        <v>0</v>
      </c>
      <c r="D12" s="574">
        <f>B12-C12</f>
        <v>16000</v>
      </c>
      <c r="E12" s="340">
        <f t="shared" si="0"/>
        <v>16000</v>
      </c>
    </row>
    <row r="13" spans="1:7" s="379" customFormat="1" x14ac:dyDescent="0.2">
      <c r="A13" s="276" t="s">
        <v>178</v>
      </c>
      <c r="B13" s="247">
        <v>18874</v>
      </c>
      <c r="C13" s="247">
        <v>18874</v>
      </c>
      <c r="D13" s="247">
        <v>6000</v>
      </c>
      <c r="E13" s="340">
        <f>D13+C13</f>
        <v>24874</v>
      </c>
      <c r="G13" s="346"/>
    </row>
    <row r="14" spans="1:7" x14ac:dyDescent="0.2">
      <c r="A14" s="352" t="s">
        <v>194</v>
      </c>
      <c r="B14" s="221">
        <v>2651</v>
      </c>
      <c r="C14" s="247">
        <v>0</v>
      </c>
      <c r="D14" s="247">
        <v>2651</v>
      </c>
      <c r="E14" s="340">
        <f>D14+C14</f>
        <v>2651</v>
      </c>
    </row>
    <row r="15" spans="1:7" s="409" customFormat="1" ht="15" x14ac:dyDescent="0.25">
      <c r="A15" s="423" t="s">
        <v>195</v>
      </c>
      <c r="B15" s="247">
        <v>1306</v>
      </c>
      <c r="C15" s="247">
        <v>1306</v>
      </c>
      <c r="D15" s="247">
        <v>0</v>
      </c>
      <c r="E15" s="340">
        <f>D15+C15</f>
        <v>1306</v>
      </c>
      <c r="G15" s="346"/>
    </row>
    <row r="16" spans="1:7" s="411" customFormat="1" ht="15" x14ac:dyDescent="0.25">
      <c r="A16" s="410" t="s">
        <v>198</v>
      </c>
      <c r="B16" s="247">
        <v>1202</v>
      </c>
      <c r="C16" s="247">
        <v>0</v>
      </c>
      <c r="D16" s="247">
        <v>1202</v>
      </c>
      <c r="E16" s="340">
        <f>D16+C16</f>
        <v>1202</v>
      </c>
    </row>
    <row r="17" spans="1:10" x14ac:dyDescent="0.2">
      <c r="A17" s="276" t="s">
        <v>157</v>
      </c>
      <c r="B17" s="247">
        <v>100</v>
      </c>
      <c r="C17" s="247">
        <v>0</v>
      </c>
      <c r="D17" s="247">
        <v>0</v>
      </c>
      <c r="E17" s="340">
        <f>+G13</f>
        <v>0</v>
      </c>
    </row>
    <row r="18" spans="1:10" ht="13.5" thickBot="1" x14ac:dyDescent="0.25">
      <c r="A18" s="342" t="s">
        <v>158</v>
      </c>
      <c r="B18" s="343">
        <v>100</v>
      </c>
      <c r="C18" s="343">
        <v>0</v>
      </c>
      <c r="D18" s="343">
        <v>0</v>
      </c>
      <c r="E18" s="343">
        <f>D18+C18</f>
        <v>0</v>
      </c>
    </row>
    <row r="19" spans="1:10" ht="13.5" thickBot="1" x14ac:dyDescent="0.25">
      <c r="A19" s="338" t="s">
        <v>159</v>
      </c>
      <c r="B19" s="344">
        <f>SUM(B9:B18)</f>
        <v>578033</v>
      </c>
      <c r="C19" s="344">
        <f>SUM(C9:C18)</f>
        <v>383074</v>
      </c>
      <c r="D19" s="344">
        <f>SUM(D9:D18)</f>
        <v>199798</v>
      </c>
      <c r="E19" s="345">
        <f>SUM(E9:E18)</f>
        <v>582872</v>
      </c>
    </row>
    <row r="20" spans="1:10" ht="13.5" thickBot="1" x14ac:dyDescent="0.25">
      <c r="A20" s="462"/>
      <c r="B20" s="463"/>
      <c r="C20" s="463"/>
      <c r="D20" s="464"/>
      <c r="E20" s="465"/>
    </row>
    <row r="21" spans="1:10" x14ac:dyDescent="0.2">
      <c r="A21" s="99"/>
      <c r="B21" s="346"/>
      <c r="C21" s="317"/>
      <c r="D21" s="346"/>
      <c r="E21" s="347"/>
    </row>
    <row r="22" spans="1:10" x14ac:dyDescent="0.2">
      <c r="A22" s="338" t="s">
        <v>160</v>
      </c>
      <c r="B22" s="346"/>
      <c r="C22" s="317"/>
      <c r="D22" s="346"/>
      <c r="E22" s="347"/>
    </row>
    <row r="23" spans="1:10" x14ac:dyDescent="0.2">
      <c r="A23" s="424" t="s">
        <v>19</v>
      </c>
      <c r="B23" s="247">
        <v>225000</v>
      </c>
      <c r="C23" s="425">
        <v>150517</v>
      </c>
      <c r="D23" s="247">
        <f>B23-C23+5000</f>
        <v>79483</v>
      </c>
      <c r="E23" s="265">
        <f t="shared" ref="E23:E29" si="2">D23+C23</f>
        <v>230000</v>
      </c>
    </row>
    <row r="24" spans="1:10" x14ac:dyDescent="0.2">
      <c r="A24" s="276" t="s">
        <v>161</v>
      </c>
      <c r="B24" s="247">
        <v>17472</v>
      </c>
      <c r="C24" s="247">
        <v>12026</v>
      </c>
      <c r="D24" s="247">
        <f>B24-C24+350</f>
        <v>5796</v>
      </c>
      <c r="E24" s="265">
        <f t="shared" si="2"/>
        <v>17822</v>
      </c>
    </row>
    <row r="25" spans="1:10" x14ac:dyDescent="0.2">
      <c r="A25" s="276" t="s">
        <v>162</v>
      </c>
      <c r="B25" s="247">
        <v>54640</v>
      </c>
      <c r="C25" s="247">
        <v>32784</v>
      </c>
      <c r="D25" s="247">
        <f>B25-C25</f>
        <v>21856</v>
      </c>
      <c r="E25" s="265">
        <f t="shared" si="2"/>
        <v>54640</v>
      </c>
    </row>
    <row r="26" spans="1:10" x14ac:dyDescent="0.2">
      <c r="A26" s="276" t="s">
        <v>163</v>
      </c>
      <c r="B26" s="247">
        <v>250</v>
      </c>
      <c r="C26" s="247">
        <v>400</v>
      </c>
      <c r="D26" s="247">
        <v>0</v>
      </c>
      <c r="E26" s="265">
        <f t="shared" si="2"/>
        <v>400</v>
      </c>
    </row>
    <row r="27" spans="1:10" x14ac:dyDescent="0.2">
      <c r="A27" s="276" t="s">
        <v>164</v>
      </c>
      <c r="B27" s="247">
        <v>350</v>
      </c>
      <c r="C27" s="247">
        <v>0</v>
      </c>
      <c r="D27" s="247">
        <v>0</v>
      </c>
      <c r="E27" s="265">
        <v>0</v>
      </c>
    </row>
    <row r="28" spans="1:10" x14ac:dyDescent="0.2">
      <c r="A28" s="341" t="s">
        <v>13</v>
      </c>
      <c r="B28" s="362">
        <f>294173.18+1204</f>
        <v>295377.18</v>
      </c>
      <c r="C28" s="362">
        <v>226449</v>
      </c>
      <c r="D28" s="247">
        <f>B28-C28-17000</f>
        <v>51928.179999999993</v>
      </c>
      <c r="E28" s="348">
        <f t="shared" si="2"/>
        <v>278377.18</v>
      </c>
      <c r="J28" s="575"/>
    </row>
    <row r="29" spans="1:10" ht="13.5" thickBot="1" x14ac:dyDescent="0.25">
      <c r="A29" s="342" t="s">
        <v>165</v>
      </c>
      <c r="B29" s="343">
        <v>1500</v>
      </c>
      <c r="C29" s="343">
        <v>0</v>
      </c>
      <c r="D29" s="343">
        <v>0</v>
      </c>
      <c r="E29" s="349">
        <f t="shared" si="2"/>
        <v>0</v>
      </c>
      <c r="J29" s="575"/>
    </row>
    <row r="30" spans="1:10" ht="13.5" thickBot="1" x14ac:dyDescent="0.25">
      <c r="A30" s="338" t="s">
        <v>166</v>
      </c>
      <c r="B30" s="350">
        <f>SUM(B23:B29)</f>
        <v>594589.17999999993</v>
      </c>
      <c r="C30" s="344">
        <f>SUM(C23:C29)</f>
        <v>422176</v>
      </c>
      <c r="D30" s="350">
        <f>SUM(D23:D29)</f>
        <v>159063.18</v>
      </c>
      <c r="E30" s="351">
        <f>SUM(E23:E29)</f>
        <v>581239.17999999993</v>
      </c>
    </row>
    <row r="31" spans="1:10" ht="13.5" thickBot="1" x14ac:dyDescent="0.25">
      <c r="A31" s="462"/>
      <c r="B31" s="463"/>
      <c r="C31" s="463"/>
      <c r="D31" s="464"/>
      <c r="E31" s="465"/>
    </row>
    <row r="34" spans="1:5" x14ac:dyDescent="0.2">
      <c r="A34" s="352" t="s">
        <v>174</v>
      </c>
      <c r="B34" s="247">
        <v>2353</v>
      </c>
      <c r="C34" s="247">
        <v>2353</v>
      </c>
      <c r="D34" s="393">
        <v>0</v>
      </c>
      <c r="E34" s="340">
        <f t="shared" ref="E34" si="3">D34+C34</f>
        <v>2353</v>
      </c>
    </row>
    <row r="35" spans="1:5" ht="13.5" thickBot="1" x14ac:dyDescent="0.25">
      <c r="A35" s="249"/>
      <c r="B35" s="317"/>
      <c r="C35" s="317"/>
      <c r="D35" s="346"/>
      <c r="E35" s="346"/>
    </row>
    <row r="36" spans="1:5" ht="13.5" thickBot="1" x14ac:dyDescent="0.25">
      <c r="A36" s="353" t="s">
        <v>167</v>
      </c>
      <c r="B36" s="354">
        <f>B19-B30+B14+B34</f>
        <v>-11552.179999999935</v>
      </c>
      <c r="C36" s="354">
        <f>C19-C30+C34</f>
        <v>-36749</v>
      </c>
      <c r="D36" s="354">
        <f>D19-D30+D34</f>
        <v>40734.820000000007</v>
      </c>
      <c r="E36" s="355">
        <f>E19-E30+E34</f>
        <v>3985.8200000000652</v>
      </c>
    </row>
    <row r="37" spans="1:5" x14ac:dyDescent="0.2">
      <c r="B37" s="356"/>
    </row>
    <row r="38" spans="1:5" x14ac:dyDescent="0.2">
      <c r="E38" s="356"/>
    </row>
  </sheetData>
  <mergeCells count="3">
    <mergeCell ref="A1:E1"/>
    <mergeCell ref="A3:E3"/>
    <mergeCell ref="A4:E4"/>
  </mergeCells>
  <printOptions horizontalCentered="1" verticalCentered="1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N10" sqref="N10"/>
    </sheetView>
  </sheetViews>
  <sheetFormatPr defaultColWidth="8.7109375" defaultRowHeight="12.75" x14ac:dyDescent="0.2"/>
  <cols>
    <col min="1" max="16384" width="8.7109375" style="422"/>
  </cols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8"/>
  <sheetViews>
    <sheetView workbookViewId="0">
      <selection activeCell="L14" sqref="L14"/>
    </sheetView>
  </sheetViews>
  <sheetFormatPr defaultColWidth="9.140625" defaultRowHeight="15" x14ac:dyDescent="0.2"/>
  <cols>
    <col min="1" max="1" width="12.7109375" style="1" customWidth="1"/>
    <col min="2" max="2" width="40.85546875" style="144" customWidth="1"/>
    <col min="3" max="3" width="15.5703125" style="1" customWidth="1"/>
    <col min="4" max="4" width="15.5703125" style="144" customWidth="1"/>
    <col min="5" max="5" width="15" style="144" customWidth="1"/>
    <col min="6" max="7" width="12.7109375" style="144" customWidth="1"/>
    <col min="8" max="8" width="11.5703125" style="76" customWidth="1"/>
    <col min="9" max="9" width="6.85546875" style="88" customWidth="1"/>
    <col min="10" max="10" width="4.7109375" style="88" customWidth="1"/>
    <col min="11" max="11" width="6.85546875" style="88" customWidth="1"/>
    <col min="12" max="12" width="4.7109375" style="88" customWidth="1"/>
    <col min="13" max="14" width="6" style="88" customWidth="1"/>
    <col min="15" max="16" width="4.7109375" style="88" customWidth="1"/>
    <col min="17" max="17" width="6.85546875" style="88" customWidth="1"/>
    <col min="18" max="18" width="9.140625" style="1" customWidth="1"/>
    <col min="19" max="19" width="11.5703125" style="96" bestFit="1" customWidth="1"/>
    <col min="20" max="26" width="9.85546875" style="1" customWidth="1"/>
    <col min="27" max="27" width="3" style="1" customWidth="1"/>
    <col min="28" max="31" width="9.85546875" style="1" customWidth="1"/>
    <col min="32" max="32" width="11.5703125" style="1" customWidth="1"/>
    <col min="33" max="33" width="9.140625" style="1" customWidth="1"/>
    <col min="34" max="35" width="11" style="1" bestFit="1" customWidth="1"/>
    <col min="36" max="16384" width="9.140625" style="1"/>
  </cols>
  <sheetData>
    <row r="1" spans="1:256" ht="30" customHeight="1" x14ac:dyDescent="0.3">
      <c r="B1" s="566" t="s">
        <v>25</v>
      </c>
      <c r="C1" s="566"/>
      <c r="D1" s="566"/>
      <c r="E1" s="566"/>
      <c r="F1" s="566"/>
      <c r="G1" s="131"/>
      <c r="H1" s="131"/>
      <c r="I1" s="131"/>
      <c r="J1" s="131"/>
      <c r="K1" s="131"/>
      <c r="L1" s="131"/>
    </row>
    <row r="2" spans="1:256" ht="30" customHeight="1" x14ac:dyDescent="0.3">
      <c r="B2" s="566" t="s">
        <v>101</v>
      </c>
      <c r="C2" s="566"/>
      <c r="D2" s="566"/>
      <c r="E2" s="566"/>
      <c r="F2" s="566"/>
      <c r="G2" s="131"/>
      <c r="H2" s="131"/>
      <c r="I2" s="131"/>
      <c r="J2" s="131"/>
      <c r="K2" s="131"/>
      <c r="L2" s="131"/>
    </row>
    <row r="3" spans="1:256" ht="30" customHeight="1" x14ac:dyDescent="0.3">
      <c r="B3" s="554" t="s">
        <v>102</v>
      </c>
      <c r="C3" s="554"/>
      <c r="D3" s="554"/>
      <c r="E3" s="554"/>
      <c r="F3" s="554"/>
      <c r="G3" s="131"/>
      <c r="H3" s="131"/>
      <c r="I3" s="131"/>
      <c r="J3" s="131"/>
      <c r="K3" s="131"/>
      <c r="L3" s="131"/>
    </row>
    <row r="4" spans="1:256" ht="14.25" x14ac:dyDescent="0.2">
      <c r="B4" s="569"/>
      <c r="C4" s="569"/>
      <c r="D4" s="569"/>
      <c r="E4" s="569"/>
      <c r="F4" s="569"/>
      <c r="G4" s="569"/>
    </row>
    <row r="5" spans="1:256" ht="15.75" thickBot="1" x14ac:dyDescent="0.25"/>
    <row r="6" spans="1:256" ht="50.1" customHeight="1" thickBot="1" x14ac:dyDescent="0.3">
      <c r="B6" s="208" t="s">
        <v>1</v>
      </c>
      <c r="C6" s="209" t="s">
        <v>103</v>
      </c>
      <c r="D6" s="209" t="s">
        <v>71</v>
      </c>
      <c r="E6" s="209" t="s">
        <v>72</v>
      </c>
      <c r="F6" s="209" t="s">
        <v>73</v>
      </c>
      <c r="G6" s="76"/>
      <c r="H6" s="88"/>
      <c r="J6" s="76"/>
      <c r="Q6" s="1"/>
      <c r="R6" s="126"/>
      <c r="S6" s="117"/>
      <c r="T6" s="117"/>
      <c r="U6" s="117"/>
      <c r="V6" s="117"/>
      <c r="W6" s="117"/>
      <c r="X6" s="117"/>
      <c r="Y6" s="117"/>
      <c r="Z6" s="117"/>
      <c r="AA6" s="117"/>
      <c r="AB6" s="117"/>
    </row>
    <row r="7" spans="1:256" x14ac:dyDescent="0.2">
      <c r="B7" s="146"/>
      <c r="C7" s="144"/>
      <c r="F7" s="147"/>
      <c r="G7" s="1"/>
      <c r="H7" s="79"/>
      <c r="I7" s="79"/>
      <c r="J7" s="79"/>
      <c r="K7" s="79"/>
      <c r="L7" s="79"/>
      <c r="M7" s="79"/>
      <c r="N7" s="79"/>
      <c r="O7" s="79"/>
      <c r="P7" s="79"/>
      <c r="Q7" s="1"/>
      <c r="R7" s="96"/>
      <c r="S7" s="1"/>
    </row>
    <row r="8" spans="1:256" ht="30" customHeight="1" x14ac:dyDescent="0.2">
      <c r="B8" s="148" t="s">
        <v>74</v>
      </c>
      <c r="C8" s="149">
        <v>19958149</v>
      </c>
      <c r="D8" s="149">
        <v>19958149</v>
      </c>
      <c r="E8" s="149">
        <f>D8-C8</f>
        <v>0</v>
      </c>
      <c r="F8" s="150">
        <f>E8/C8</f>
        <v>0</v>
      </c>
      <c r="G8" s="76"/>
      <c r="H8" s="79"/>
      <c r="I8" s="79"/>
      <c r="P8" s="79"/>
      <c r="Q8" s="1"/>
      <c r="R8" s="96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151"/>
      <c r="AF8" s="36"/>
    </row>
    <row r="9" spans="1:256" ht="30" customHeight="1" x14ac:dyDescent="0.2">
      <c r="B9" s="148" t="s">
        <v>75</v>
      </c>
      <c r="C9" s="152">
        <f>'grnt resource bu'!D6+'grnt resource bu'!D7+'grnt resource bu'!D8+'grnt resource bu'!D9+'grnt resource bu'!D10+'grnt resource bu'!D11+'grnt resource bu'!D12+'grnt resource bu'!D13</f>
        <v>660912</v>
      </c>
      <c r="D9" s="152">
        <f>'grnt resource bu'!E6+'grnt resource bu'!E7+'grnt resource bu'!E8+'grnt resource bu'!E9+'grnt resource bu'!E10+'grnt resource bu'!E11+'grnt resource bu'!E12+'grnt resource bu'!E13</f>
        <v>402360</v>
      </c>
      <c r="E9" s="152">
        <f>D9-C9</f>
        <v>-258552</v>
      </c>
      <c r="F9" s="150">
        <f>E9/C9</f>
        <v>-0.39120488052872393</v>
      </c>
      <c r="G9" s="76"/>
      <c r="H9" s="79"/>
      <c r="I9" s="79"/>
      <c r="P9" s="79"/>
      <c r="Q9" s="1"/>
      <c r="R9" s="96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151"/>
      <c r="AF9" s="36"/>
    </row>
    <row r="10" spans="1:256" ht="30" customHeight="1" x14ac:dyDescent="0.2">
      <c r="B10" s="148" t="s">
        <v>76</v>
      </c>
      <c r="C10" s="152">
        <f>'grnt resource bu'!D14+'grnt resource bu'!D15+'grnt resource bu'!D16+'grnt resource bu'!D17+'grnt resource bu'!D18+'grnt resource bu'!D19+'grnt resource bu'!D20+'grnt resource bu'!D21+'grnt resource bu'!D22+'grnt resource bu'!D23+'grnt resource bu'!D24+'grnt resource bu'!D25+'grnt resource bu'!D26</f>
        <v>2533005</v>
      </c>
      <c r="D10" s="152">
        <f>'grnt resource bu'!E14+'grnt resource bu'!E15+'grnt resource bu'!E16+'grnt resource bu'!E17+'grnt resource bu'!E18+'grnt resource bu'!E19+'grnt resource bu'!E20+'grnt resource bu'!E21+'grnt resource bu'!E22+'grnt resource bu'!E23+'grnt resource bu'!E24+'grnt resource bu'!E25+'grnt resource bu'!E26</f>
        <v>2026959</v>
      </c>
      <c r="E10" s="152">
        <f>D10-C10</f>
        <v>-506046</v>
      </c>
      <c r="F10" s="150">
        <f>E10/C10</f>
        <v>-0.19978089265516649</v>
      </c>
      <c r="G10" s="76"/>
      <c r="H10" s="79"/>
      <c r="I10" s="79"/>
      <c r="P10" s="79"/>
      <c r="Q10" s="1"/>
      <c r="R10" s="96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151"/>
      <c r="AF10" s="36"/>
    </row>
    <row r="11" spans="1:256" ht="30" customHeight="1" x14ac:dyDescent="0.2">
      <c r="B11" s="148" t="s">
        <v>77</v>
      </c>
      <c r="C11" s="152">
        <v>330000</v>
      </c>
      <c r="D11" s="152">
        <v>330000</v>
      </c>
      <c r="E11" s="152">
        <f>D11-C11</f>
        <v>0</v>
      </c>
      <c r="F11" s="150">
        <v>1</v>
      </c>
      <c r="G11" s="76"/>
      <c r="H11" s="79"/>
      <c r="I11" s="79"/>
      <c r="P11" s="79"/>
      <c r="Q11" s="1"/>
      <c r="R11" s="96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151"/>
      <c r="AF11" s="36"/>
    </row>
    <row r="12" spans="1:256" x14ac:dyDescent="0.2">
      <c r="B12" s="146"/>
      <c r="C12" s="144"/>
      <c r="F12" s="147"/>
      <c r="G12" s="76"/>
      <c r="H12" s="88"/>
      <c r="Q12" s="1"/>
      <c r="R12" s="96"/>
      <c r="S12" s="1"/>
      <c r="AE12" s="36"/>
    </row>
    <row r="13" spans="1:256" x14ac:dyDescent="0.2">
      <c r="A13" s="92"/>
      <c r="B13" s="210"/>
      <c r="C13" s="211"/>
      <c r="D13" s="211"/>
      <c r="E13" s="211"/>
      <c r="F13" s="212"/>
      <c r="G13" s="91"/>
      <c r="H13" s="155"/>
      <c r="I13" s="155"/>
      <c r="J13" s="155"/>
      <c r="K13" s="155"/>
      <c r="L13" s="155"/>
      <c r="M13" s="155"/>
      <c r="N13" s="155"/>
      <c r="O13" s="155"/>
      <c r="P13" s="79"/>
      <c r="Q13" s="92"/>
      <c r="R13" s="127"/>
      <c r="S13" s="92"/>
      <c r="T13" s="156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  <c r="IR13" s="92"/>
      <c r="IS13" s="92"/>
      <c r="IT13" s="92"/>
      <c r="IU13" s="92"/>
      <c r="IV13" s="92"/>
    </row>
    <row r="14" spans="1:256" ht="30" customHeight="1" thickBot="1" x14ac:dyDescent="0.3">
      <c r="B14" s="157" t="s">
        <v>24</v>
      </c>
      <c r="C14" s="158">
        <f>SUM(C8:C13)</f>
        <v>23482066</v>
      </c>
      <c r="D14" s="158">
        <f>SUM(D8:D13)</f>
        <v>22717468</v>
      </c>
      <c r="E14" s="158">
        <f>SUM(E8:E13)</f>
        <v>-764598</v>
      </c>
      <c r="F14" s="159">
        <f>E14/C14</f>
        <v>-3.2560933948486477E-2</v>
      </c>
      <c r="G14" s="86"/>
      <c r="H14" s="79"/>
      <c r="I14" s="79"/>
      <c r="J14" s="79"/>
      <c r="K14" s="79"/>
      <c r="L14" s="79"/>
      <c r="M14" s="79"/>
      <c r="N14" s="79"/>
      <c r="O14" s="79"/>
      <c r="P14" s="79"/>
      <c r="Q14" s="1"/>
      <c r="R14" s="9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256" ht="15.75" x14ac:dyDescent="0.25">
      <c r="B15" s="160"/>
      <c r="C15" s="34"/>
      <c r="D15" s="161"/>
      <c r="E15" s="161"/>
      <c r="F15" s="161"/>
      <c r="G15" s="161"/>
      <c r="H15" s="1"/>
      <c r="R15" s="36"/>
      <c r="U15" s="25"/>
    </row>
    <row r="16" spans="1:256" x14ac:dyDescent="0.2">
      <c r="C16" s="36"/>
      <c r="D16" s="36"/>
      <c r="U16" s="25"/>
    </row>
    <row r="17" spans="21:21" x14ac:dyDescent="0.2">
      <c r="U17" s="25"/>
    </row>
    <row r="18" spans="21:21" x14ac:dyDescent="0.2">
      <c r="U18" s="25"/>
    </row>
    <row r="19" spans="21:21" x14ac:dyDescent="0.2">
      <c r="U19" s="25"/>
    </row>
    <row r="20" spans="21:21" x14ac:dyDescent="0.2">
      <c r="U20" s="25"/>
    </row>
    <row r="21" spans="21:21" x14ac:dyDescent="0.2">
      <c r="U21" s="25"/>
    </row>
    <row r="22" spans="21:21" x14ac:dyDescent="0.2">
      <c r="U22" s="25"/>
    </row>
    <row r="23" spans="21:21" x14ac:dyDescent="0.2">
      <c r="U23" s="25"/>
    </row>
    <row r="24" spans="21:21" x14ac:dyDescent="0.2">
      <c r="U24" s="25"/>
    </row>
    <row r="25" spans="21:21" x14ac:dyDescent="0.2">
      <c r="U25" s="25"/>
    </row>
    <row r="26" spans="21:21" x14ac:dyDescent="0.2">
      <c r="U26" s="25"/>
    </row>
    <row r="27" spans="21:21" x14ac:dyDescent="0.2">
      <c r="U27" s="25"/>
    </row>
    <row r="28" spans="21:21" x14ac:dyDescent="0.2">
      <c r="U28" s="25"/>
    </row>
    <row r="29" spans="21:21" x14ac:dyDescent="0.2">
      <c r="U29" s="25"/>
    </row>
    <row r="30" spans="21:21" x14ac:dyDescent="0.2">
      <c r="U30" s="25"/>
    </row>
    <row r="31" spans="21:21" x14ac:dyDescent="0.2">
      <c r="U31" s="25"/>
    </row>
    <row r="32" spans="21:21" x14ac:dyDescent="0.2">
      <c r="U32" s="25"/>
    </row>
    <row r="33" spans="21:21" x14ac:dyDescent="0.2">
      <c r="U33" s="25"/>
    </row>
    <row r="34" spans="21:21" x14ac:dyDescent="0.2">
      <c r="U34" s="25"/>
    </row>
    <row r="35" spans="21:21" x14ac:dyDescent="0.2">
      <c r="U35" s="25"/>
    </row>
    <row r="36" spans="21:21" x14ac:dyDescent="0.2">
      <c r="U36" s="25"/>
    </row>
    <row r="37" spans="21:21" x14ac:dyDescent="0.2">
      <c r="U37" s="25"/>
    </row>
    <row r="38" spans="21:21" x14ac:dyDescent="0.2">
      <c r="U38" s="25"/>
    </row>
    <row r="39" spans="21:21" x14ac:dyDescent="0.2">
      <c r="U39" s="25"/>
    </row>
    <row r="40" spans="21:21" x14ac:dyDescent="0.2">
      <c r="U40" s="25"/>
    </row>
    <row r="41" spans="21:21" x14ac:dyDescent="0.2">
      <c r="U41" s="25"/>
    </row>
    <row r="42" spans="21:21" x14ac:dyDescent="0.2">
      <c r="U42" s="25"/>
    </row>
    <row r="43" spans="21:21" x14ac:dyDescent="0.2">
      <c r="U43" s="25"/>
    </row>
    <row r="44" spans="21:21" x14ac:dyDescent="0.2">
      <c r="U44" s="25"/>
    </row>
    <row r="45" spans="21:21" x14ac:dyDescent="0.2">
      <c r="U45" s="25"/>
    </row>
    <row r="46" spans="21:21" x14ac:dyDescent="0.2">
      <c r="U46" s="25"/>
    </row>
    <row r="47" spans="21:21" x14ac:dyDescent="0.2">
      <c r="U47" s="25"/>
    </row>
    <row r="48" spans="21:21" x14ac:dyDescent="0.2">
      <c r="U48" s="25"/>
    </row>
    <row r="49" spans="21:21" x14ac:dyDescent="0.2">
      <c r="U49" s="25"/>
    </row>
    <row r="50" spans="21:21" x14ac:dyDescent="0.2">
      <c r="U50" s="25"/>
    </row>
    <row r="51" spans="21:21" x14ac:dyDescent="0.2">
      <c r="U51" s="25"/>
    </row>
    <row r="52" spans="21:21" x14ac:dyDescent="0.2">
      <c r="U52" s="25"/>
    </row>
    <row r="53" spans="21:21" x14ac:dyDescent="0.2">
      <c r="U53" s="25"/>
    </row>
    <row r="54" spans="21:21" x14ac:dyDescent="0.2">
      <c r="U54" s="25"/>
    </row>
    <row r="55" spans="21:21" x14ac:dyDescent="0.2">
      <c r="U55" s="25"/>
    </row>
    <row r="56" spans="21:21" x14ac:dyDescent="0.2">
      <c r="U56" s="25"/>
    </row>
    <row r="57" spans="21:21" x14ac:dyDescent="0.2">
      <c r="U57" s="25"/>
    </row>
    <row r="58" spans="21:21" x14ac:dyDescent="0.2">
      <c r="U58" s="25"/>
    </row>
  </sheetData>
  <mergeCells count="4">
    <mergeCell ref="B1:F1"/>
    <mergeCell ref="B2:F2"/>
    <mergeCell ref="B3:F3"/>
    <mergeCell ref="B4:G4"/>
  </mergeCells>
  <printOptions horizontalCentered="1" verticalCentered="1"/>
  <pageMargins left="0" right="0" top="1.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Snapshot</vt:lpstr>
      <vt:lpstr>Object Code Definitions</vt:lpstr>
      <vt:lpstr>Appropriated</vt:lpstr>
      <vt:lpstr>Departments</vt:lpstr>
      <vt:lpstr>Town $ Summary</vt:lpstr>
      <vt:lpstr>Grants</vt:lpstr>
      <vt:lpstr>Food  Svce</vt:lpstr>
      <vt:lpstr>Sheet1</vt:lpstr>
      <vt:lpstr>Ttl Resources</vt:lpstr>
      <vt:lpstr>grnt resource bu</vt:lpstr>
      <vt:lpstr>Appropriated!Print_Titles</vt:lpstr>
    </vt:vector>
  </TitlesOfParts>
  <Company>Town of Thomaston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nodeawyrick</dc:creator>
  <cp:lastModifiedBy>Nancy O'Dea-Wyrick</cp:lastModifiedBy>
  <cp:lastPrinted>2024-04-05T15:41:14Z</cp:lastPrinted>
  <dcterms:created xsi:type="dcterms:W3CDTF">2013-08-08T20:07:49Z</dcterms:created>
  <dcterms:modified xsi:type="dcterms:W3CDTF">2024-04-05T15:45:15Z</dcterms:modified>
</cp:coreProperties>
</file>